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pinalaz-my.sharepoint.com/personal/tonyata_pinal_gov/Documents/Desktop/S Drive/Tonya's Folder/sdforms/"/>
    </mc:Choice>
  </mc:AlternateContent>
  <xr:revisionPtr revIDLastSave="0" documentId="8_{B941AFEE-E49C-48A9-98C8-9F4E0DC82D1E}" xr6:coauthVersionLast="47" xr6:coauthVersionMax="47" xr10:uidLastSave="{00000000-0000-0000-0000-000000000000}"/>
  <workbookProtection workbookAlgorithmName="SHA-512" workbookHashValue="AMu9vLNObiiX65qJpqLrKhbwrx3cjOn3XBi9VfZUO+iXb70aXR7h5D6mYWbW/FybeVmGIjw7hKwKdf6l11wkPg==" workbookSaltValue="LZXU3n9zoNq0j2tDYgTdXA==" workbookSpinCount="100000" lockStructure="1"/>
  <bookViews>
    <workbookView xWindow="-108" yWindow="-108" windowWidth="41496" windowHeight="16776" tabRatio="883" activeTab="16"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Instructions!$D$1:$E$184</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Instructions!$C$182</definedName>
    <definedName name="BSA55P4ActivityTripFactors">Instructions!$C$184</definedName>
    <definedName name="BSA55P4AuditServiceExpense">Instructions!$C$183</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Instructions!$C$181</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Instructions!$C$123</definedName>
    <definedName name="DataEntryOtherBSLBRCLAdjl1">Instructions!$C$147</definedName>
    <definedName name="DataEntryOtherBSLBRCLAdjl3">Instructions!$C$148</definedName>
    <definedName name="DataEntryOtherBSLBRCLAdjl4">Instructions!$C$150</definedName>
    <definedName name="DataEntryOtherBSLBRCLAdjl5">Instructions!$C$151</definedName>
    <definedName name="DataEntryOtherBSLBRCLAdjl6">Instructions!$C$153</definedName>
    <definedName name="DataEntryOtherBSLBRCLAdjl7">Instructions!$C$154</definedName>
    <definedName name="DataEntryOtherInfol1">Instructions!$C$159</definedName>
    <definedName name="DataEntryOtherInfol12">Instructions!$C$170</definedName>
    <definedName name="DataEntryOtherInfol13">Instructions!$C$171</definedName>
    <definedName name="DataEntryOtherInfol14e">Instructions!$C$172</definedName>
    <definedName name="DataEntryOtherInfol16">Instructions!$C$173</definedName>
    <definedName name="DataEntryOtherInfol18">Instructions!$C$174</definedName>
    <definedName name="DataEntryOtherInfol19">Instructions!$C$175</definedName>
    <definedName name="DataEntryOtherInfol1Continued">Instructions!$C$160</definedName>
    <definedName name="DataEntryOtherInfol2">Instructions!$C$161</definedName>
    <definedName name="DataEntryOtherInfol21">Instructions!$C$176</definedName>
    <definedName name="DataEntryOtherInfol22">Instructions!$C$177</definedName>
    <definedName name="DataEntryOtherInfol3">Instructions!$C$162</definedName>
    <definedName name="DataEntryOtherInfol4">Instructions!$C$163</definedName>
    <definedName name="DataEntryOtherInfol5">Instructions!$C$165</definedName>
    <definedName name="DataEntryOtherInfol6">Instructions!$C$167</definedName>
    <definedName name="DataEntryOtherInfol7">Instructions!$C$168</definedName>
    <definedName name="DataEntryOtherInfol9">Instructions!$C$169</definedName>
    <definedName name="DataEntryTransl1">Instructions!$C$155</definedName>
    <definedName name="DataEntryTransl3">Instructions!$C$157</definedName>
    <definedName name="DataEntryTransl5">Instructions!$C$158</definedName>
    <definedName name="DataEntryType01Infol1">Instructions!$C$179</definedName>
    <definedName name="DataEntryType01Infol2">Instructions!$C$180</definedName>
    <definedName name="DataEntryUSCl1">Instructions!$C$127</definedName>
    <definedName name="DataEntryUSCl2">Instructions!$C$128</definedName>
    <definedName name="DataEntryUSCl345">Instructions!$C$129</definedName>
    <definedName name="DataEntryUSCSCAl10">Instructions!$C$134</definedName>
    <definedName name="DataEntryUSCSCAl11">Instructions!$C$135</definedName>
    <definedName name="DataEntryUSCSCAl12">Instructions!$C$136</definedName>
    <definedName name="DataEntryUSCSCAl13">Instructions!$C$137</definedName>
    <definedName name="DataEntryUSCSCAl14">Instructions!$C$138</definedName>
    <definedName name="DataEntryUSCSCAl15">Instructions!$C$139</definedName>
    <definedName name="DataEntryUSCSCAl16">Instructions!$C$140</definedName>
    <definedName name="DataEntryUSCSCAl17">Instructions!$C$141</definedName>
    <definedName name="DataEntryUSCSCAl18">Instructions!$C$142</definedName>
    <definedName name="DataEntryUSCSCAl19">Instructions!$C$143</definedName>
    <definedName name="DataEntryUSCSCAl20">Instructions!$C$144</definedName>
    <definedName name="DataEntryUSCSCAl21">Instructions!$C$146</definedName>
    <definedName name="DataEntryUSCSCAl23">Instructions!$C$145</definedName>
    <definedName name="DataEntryUSCSCAl7">Instructions!$C$132</definedName>
    <definedName name="DataEntryUSCSCAl720">Instructions!$C$130</definedName>
    <definedName name="DataEntryUSCSCAl9">Instructions!$C$131</definedName>
    <definedName name="DDPJCTEOriginalBudget">'Truth in Tax'!$G$18</definedName>
    <definedName name="DecrTransMOtoEWS">'Page 7'!$J$47</definedName>
    <definedName name="DistrictName">Cover!$C$1</definedName>
    <definedName name="DistrictSystems">Instructions!$C$125</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Exp">'Page 1'!$L$42</definedName>
    <definedName name="F001TotalExpSumm">'Summary Page 1'!$B$22</definedName>
    <definedName name="F001TotExpCurrFY">'Page 1'!$K$42</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BudgFY">'Page 6'!$T$5</definedName>
    <definedName name="F050CurrFY">'Page 6'!$S$5</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BudgFY">'Page 6'!$T$8</definedName>
    <definedName name="F500CurrFY">'Page 6'!$S$8</definedName>
    <definedName name="F510BudgFY">'Page 6'!$T$9</definedName>
    <definedName name="F510CurrFY">'Page 6'!$S$9</definedName>
    <definedName name="F515BudgFY">'Page 6'!$T$10</definedName>
    <definedName name="F515CurrFY">'Page 6'!$S$10</definedName>
    <definedName name="F520BudgFY">'Page 6'!$T$11</definedName>
    <definedName name="F520CurrFY">'Page 6'!$S$11</definedName>
    <definedName name="F525BudgFY">'Page 6'!$T$12</definedName>
    <definedName name="F525CurrFY">'Page 6'!$S$12</definedName>
    <definedName name="F526BudgFY">'Page 6'!$T$13</definedName>
    <definedName name="F526CurrFY">'Page 6'!$S$13</definedName>
    <definedName name="F530BudgFY">'Page 6'!$T$14</definedName>
    <definedName name="F530CurrFY">'Page 6'!$S$14</definedName>
    <definedName name="F535BudgFY">'Page 6'!$T$15</definedName>
    <definedName name="F535CurrFY">'Page 6'!$S$15</definedName>
    <definedName name="F540BudgFY">'Page 6'!$T$16</definedName>
    <definedName name="F540CurrFY">'Page 6'!$S$16</definedName>
    <definedName name="F545BudgFY">'Page 6'!$T$17</definedName>
    <definedName name="F545CurrFY">'Page 6'!$S$17</definedName>
    <definedName name="F550BudgFY">'Page 6'!$T$18</definedName>
    <definedName name="F550CurrFY">'Page 6'!$S$18</definedName>
    <definedName name="F555BudgFY">'Page 6'!$T$19</definedName>
    <definedName name="F555CurrFY">'Page 6'!$S$19</definedName>
    <definedName name="F565BudgFY">'Page 6'!$T$20</definedName>
    <definedName name="F565CurrFY">'Page 6'!$S$20</definedName>
    <definedName name="F570BudgFY">'Page 6'!$T$21</definedName>
    <definedName name="F570CurrFY">'Page 6'!$S$21</definedName>
    <definedName name="F575BudgFY">'Page 6'!$T$22</definedName>
    <definedName name="F575CurrFY">'Page 6'!$S$22</definedName>
    <definedName name="F580BudgFY">'Page 6'!$T$23</definedName>
    <definedName name="F580CurrFY">'Page 6'!$S$23</definedName>
    <definedName name="F585BudgFY">'Page 6'!$T$24</definedName>
    <definedName name="F585CurrFY">'Page 6'!$S$24</definedName>
    <definedName name="F590BudgFY">'Page 6'!$T$25</definedName>
    <definedName name="F590CurrFY">'Page 6'!$S$25</definedName>
    <definedName name="F595BudgFY">'Page 6'!$T$26</definedName>
    <definedName name="F595CurrFY">'Page 6'!$S$26</definedName>
    <definedName name="F596BudgFY">'Page 6'!$T$27</definedName>
    <definedName name="F596CurrFY">'Page 6'!$S$27</definedName>
    <definedName name="F597BudgFY">'Page 6'!$T$28</definedName>
    <definedName name="F597CurrFY">'Page 6'!$S$28</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verride">'Page 4'!$L$8</definedName>
    <definedName name="F610TotalBudgFY">'Page 4'!$L$19</definedName>
    <definedName name="F610TotalCurrFY">'Page 4'!$K$19</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TotalBudgFY">'Page 5'!$K$8</definedName>
    <definedName name="F620TotalCurrFY">'Page 5'!$J$8</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TotalBudgFY">'Page 5'!$G$8</definedName>
    <definedName name="F630TotalCurrFY">'Page 5'!$F$8</definedName>
    <definedName name="F639BudgFY">'Page 6'!$T$29</definedName>
    <definedName name="F639CurrFY">'Page 6'!$S$29</definedName>
    <definedName name="F650BudgFY">'Page 6'!$T$30</definedName>
    <definedName name="F650CurrFY">'Page 6'!$S$30</definedName>
    <definedName name="F660BudgFY">'Page 6'!$T$31</definedName>
    <definedName name="F660CurrFY">'Page 6'!$S$31</definedName>
    <definedName name="F665BudgFY">'Page 6'!$T$32</definedName>
    <definedName name="F665CurrFY">'Page 6'!$S$32</definedName>
    <definedName name="F686BudgFY">'Page 6'!$T$33</definedName>
    <definedName name="F686CurrFY">'Page 6'!$S$33</definedName>
    <definedName name="F691BudgFY">'Page 6'!$T$34</definedName>
    <definedName name="F691CurrFY">'Page 6'!$S$34</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udgFY">'Page 6'!$T$35</definedName>
    <definedName name="F700CurrFY">'Page 6'!$S$35</definedName>
    <definedName name="F720BudgFY">'Page 6'!$T$36</definedName>
    <definedName name="F720CurrFY">'Page 6'!$S$36</definedName>
    <definedName name="F850BudgFY">'Page 6'!$T$37</definedName>
    <definedName name="F850CurrFY">'Page 6'!$S$37</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55BudgFY">'Page 6'!$T$41</definedName>
    <definedName name="F955CurrFY">'Page 6'!$S$41</definedName>
    <definedName name="FiscalYear" localSheetId="0">Cover!$E$3</definedName>
    <definedName name="FundBalA1">Instructions!$C$109</definedName>
    <definedName name="FundBalA2a">Instructions!$C$110</definedName>
    <definedName name="FundBalA2b">Instructions!$C$111</definedName>
    <definedName name="FundBalA2c">Instructions!$C$112</definedName>
    <definedName name="FundBalA3a">Instructions!$C$113</definedName>
    <definedName name="FundBalA3b">Instructions!$C$114</definedName>
    <definedName name="FundBalA3c">Instructions!$C$115</definedName>
    <definedName name="FundBalA3d">Instructions!$C$116</definedName>
    <definedName name="FundBalA3e">Instructions!$C$117</definedName>
    <definedName name="FundBalA4a">Instructions!$C$118</definedName>
    <definedName name="FundBalA4b">Instructions!$C$119</definedName>
    <definedName name="FundBalA4c">Instructions!$C$120</definedName>
    <definedName name="FundBalA4d">Instructions!$C$121</definedName>
    <definedName name="FundBalC">Instructions!$C$122</definedName>
    <definedName name="FundBalGen">Instructions!$C$108</definedName>
    <definedName name="FY2018Salary">Cover!$S$40</definedName>
    <definedName name="GBLBudgFY">'Page 7'!$J$58</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therFundsBudgFY">'Page 6'!$T$38</definedName>
    <definedName name="OtherFundsCurrFY">'Page 6'!$S$38</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7'!$A$1:$M$72</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a">Instructions!$C$79</definedName>
    <definedName name="Page7l10b">Instructions!$C$82</definedName>
    <definedName name="Page7l10c">Instructions!$C$83</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Instructions!$C$92</definedName>
    <definedName name="Page8lA2">Instructions!$C$84</definedName>
    <definedName name="Page8lA3">Instructions!$C$86</definedName>
    <definedName name="Page8lA6">Instructions!$C$88</definedName>
    <definedName name="Page8lA8">Instructions!$C$89</definedName>
    <definedName name="Page8lA9">Instructions!$C$90</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balances'!$A$1:$Q$41</definedName>
    <definedName name="_xlnm.Print_Area" localSheetId="17">Instructions!$A$1:$D$184</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7'!$A$1:$M$65</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TaxRateBudgFYSumm">'Summary Page 1'!$D$19</definedName>
    <definedName name="SecTaxRatePYSumm">'Summary Page 1'!$C$19</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SupportLevelRouteMile1">'Data Entry'!$J$8</definedName>
    <definedName name="StateSupportLevelRouteMile2">'Data Entry'!$J$9</definedName>
    <definedName name="SumDebtServiceBY">'Summary Page 2'!$D$16</definedName>
    <definedName name="Summ_Page1_StudentCount">Instructions!$C$100</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Instructions!$C$95</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Instructions!$C$107</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7'!$M$60</definedName>
    <definedName name="TotFedProjFundBudgFY">'Page 6'!$J$27</definedName>
    <definedName name="TotFedProjFundCurrFY">'Page 6'!$I$27</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Instructions!$C$101</definedName>
    <definedName name="TruthInTaxBaseLmt">'Truth in Tax'!$I$16</definedName>
    <definedName name="TruthinTaxl1">Instructions!$C$104</definedName>
    <definedName name="TruthinTaxl2">Instructions!$C$105</definedName>
    <definedName name="TruthinTaxl8a">Instructions!$C$106</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Instructions!$C$126</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7'!$A$1:$M$75</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7'!$A$1:$M$75</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9" fullPrecision="0"/>
  <customWorkbookViews>
    <customWorkbookView name="awinn - Personal View" guid="{903F8610-9018-4A51-AB82-3BFF7D9F8301}" mergeInterval="0" personalView="1" maximized="1" xWindow="240" yWindow="120" windowWidth="1020" windowHeight="596" tabRatio="915" activeSheetId="9"/>
    <customWorkbookView name="ccable - Personal View" guid="{0F9ECBDE-145C-4D55-87B4-D9130808EEB8}" mergeInterval="0" personalView="1" maximized="1" xWindow="240" yWindow="120" windowWidth="1020" windowHeight="591"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31" l="1"/>
  <c r="D15" i="31"/>
  <c r="C30" i="31"/>
  <c r="T9" i="7"/>
  <c r="G7" i="7" l="1"/>
  <c r="J14" i="7"/>
  <c r="L18" i="31" l="1"/>
  <c r="C18" i="31"/>
  <c r="D18" i="31"/>
  <c r="E18" i="31"/>
  <c r="F18" i="31"/>
  <c r="G18" i="31"/>
  <c r="H18" i="31"/>
  <c r="I18" i="31"/>
  <c r="J18" i="31"/>
  <c r="K18" i="31"/>
  <c r="M18" i="31"/>
  <c r="N18" i="31"/>
  <c r="O18" i="31"/>
  <c r="P18" i="31"/>
  <c r="P31" i="31"/>
  <c r="O31" i="31"/>
  <c r="N31" i="31"/>
  <c r="M31" i="31"/>
  <c r="L31" i="31"/>
  <c r="K31" i="31"/>
  <c r="I31" i="31"/>
  <c r="H31" i="31"/>
  <c r="G31" i="31"/>
  <c r="F31" i="31"/>
  <c r="E31" i="31"/>
  <c r="D31" i="31"/>
  <c r="Q30" i="31"/>
  <c r="Q27" i="31"/>
  <c r="P24" i="31"/>
  <c r="O24" i="31"/>
  <c r="N24" i="31"/>
  <c r="M24" i="31"/>
  <c r="L24" i="31"/>
  <c r="K24" i="31"/>
  <c r="J24" i="31"/>
  <c r="J29" i="31" s="1"/>
  <c r="J31" i="31" s="1"/>
  <c r="I24" i="31"/>
  <c r="H24" i="31"/>
  <c r="G24" i="31"/>
  <c r="F24" i="31"/>
  <c r="E24" i="31"/>
  <c r="D24" i="31"/>
  <c r="C24" i="31"/>
  <c r="Q23" i="31"/>
  <c r="Q22" i="31"/>
  <c r="Q21" i="31"/>
  <c r="Q20" i="31"/>
  <c r="Q19" i="31"/>
  <c r="Q24" i="31" l="1"/>
  <c r="Q18" i="31"/>
  <c r="Q15" i="31"/>
  <c r="J27" i="7"/>
  <c r="G27" i="7"/>
  <c r="K40" i="2" l="1"/>
  <c r="K35" i="2"/>
  <c r="K30" i="2" l="1"/>
  <c r="J13" i="23"/>
  <c r="H13" i="23"/>
  <c r="F13" i="23"/>
  <c r="D13" i="23"/>
  <c r="D12" i="23" l="1"/>
  <c r="K20" i="5"/>
  <c r="K15" i="5"/>
  <c r="J15" i="29" a="1"/>
  <c r="J10" i="29" a="1"/>
  <c r="K43" i="2"/>
  <c r="G62" i="13" s="1"/>
  <c r="K33" i="2"/>
  <c r="R86" i="28" l="1"/>
  <c r="K13" i="19"/>
  <c r="D19" i="5"/>
  <c r="I43" i="7" l="1" a="1"/>
  <c r="L100" i="28" l="1" a="1"/>
  <c r="L38" i="2" l="1"/>
  <c r="O9" i="16" l="1"/>
  <c r="I44" i="7" l="1" a="1"/>
  <c r="I46" i="7" a="1"/>
  <c r="I45" i="7" a="1"/>
  <c r="H52" i="30" l="1"/>
  <c r="D32" i="29" l="1" a="1"/>
  <c r="M37" i="2" l="1"/>
  <c r="L37" i="2"/>
  <c r="K37" i="2"/>
  <c r="J37" i="2"/>
  <c r="I37" i="2"/>
  <c r="H37" i="2"/>
  <c r="G37" i="2"/>
  <c r="F37" i="2"/>
  <c r="E37" i="2"/>
  <c r="D37" i="2"/>
  <c r="G22" i="15"/>
  <c r="G18" i="15"/>
  <c r="C100" i="30" a="1"/>
  <c r="C100" i="30" s="1"/>
  <c r="E97" i="30" a="1"/>
  <c r="E97" i="30" s="1"/>
  <c r="L99" i="28"/>
  <c r="L98" i="28"/>
  <c r="L97" i="28"/>
  <c r="L96" i="28"/>
  <c r="R83" i="28"/>
  <c r="I5" i="15" a="1"/>
  <c r="I5" i="15" s="1"/>
  <c r="I7"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L28" i="17"/>
  <c r="L27" i="17"/>
  <c r="L26" i="17"/>
  <c r="L25" i="17"/>
  <c r="L24" i="17"/>
  <c r="L23" i="17"/>
  <c r="L22" i="17"/>
  <c r="L20" i="17"/>
  <c r="L17" i="17"/>
  <c r="L16" i="17"/>
  <c r="L15" i="17"/>
  <c r="L14" i="17"/>
  <c r="L13" i="17"/>
  <c r="L12" i="17"/>
  <c r="L11" i="17"/>
  <c r="L10" i="17"/>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S43" i="7"/>
  <c r="M36" i="14" s="1"/>
  <c r="S42" i="7"/>
  <c r="M35" i="14" s="1"/>
  <c r="S41" i="7"/>
  <c r="M34" i="14" s="1"/>
  <c r="S40" i="7"/>
  <c r="M33" i="14" s="1"/>
  <c r="S38" i="7"/>
  <c r="M32" i="14" s="1"/>
  <c r="S37" i="7"/>
  <c r="M31" i="14" s="1"/>
  <c r="S36" i="7"/>
  <c r="M30" i="14" s="1"/>
  <c r="S35" i="7"/>
  <c r="C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S9" i="7"/>
  <c r="C20" i="14" s="1"/>
  <c r="S8" i="7"/>
  <c r="C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H8" i="23"/>
  <c r="C14" i="14" s="1"/>
  <c r="F8" i="23"/>
  <c r="C19" i="14" s="1"/>
  <c r="K18" i="5"/>
  <c r="K17" i="5"/>
  <c r="K16" i="5"/>
  <c r="K14" i="5"/>
  <c r="K13" i="5"/>
  <c r="K12" i="5"/>
  <c r="K10" i="5"/>
  <c r="K8" i="5"/>
  <c r="J8" i="29" a="1"/>
  <c r="J8" i="29" s="1"/>
  <c r="J13" i="29" a="1"/>
  <c r="J13" i="29" s="1"/>
  <c r="J9" i="29" a="1"/>
  <c r="J9" i="29" s="1"/>
  <c r="J7" i="29" a="1"/>
  <c r="J7" i="29" s="1"/>
  <c r="J6" i="29" a="1"/>
  <c r="J6" i="29" s="1"/>
  <c r="J11" i="29" a="1"/>
  <c r="J11" i="29" s="1"/>
  <c r="J12" i="29" a="1"/>
  <c r="J12" i="29" s="1"/>
  <c r="F19" i="3" a="1"/>
  <c r="F19" i="3" s="1"/>
  <c r="F14" i="3"/>
  <c r="F13" i="3"/>
  <c r="D31" i="14" s="1"/>
  <c r="F12" i="3"/>
  <c r="D30" i="14" s="1"/>
  <c r="F11" i="3"/>
  <c r="D29" i="14" s="1"/>
  <c r="F10" i="3"/>
  <c r="D28" i="14" s="1"/>
  <c r="F9" i="3"/>
  <c r="D27" i="14" s="1"/>
  <c r="F8" i="3"/>
  <c r="D26" i="14" s="1"/>
  <c r="F7" i="3"/>
  <c r="D25" i="14" s="1"/>
  <c r="K41" i="2"/>
  <c r="K38" i="2"/>
  <c r="M38" i="2" s="1"/>
  <c r="K32" i="2"/>
  <c r="K31" i="2"/>
  <c r="K29" i="2"/>
  <c r="K28" i="2"/>
  <c r="K27" i="2"/>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G152" i="30"/>
  <c r="E152" i="30"/>
  <c r="G151" i="30"/>
  <c r="E151" i="30"/>
  <c r="G150" i="30"/>
  <c r="E150" i="30"/>
  <c r="G149" i="30"/>
  <c r="E149" i="30"/>
  <c r="G141" i="30"/>
  <c r="D139" i="30"/>
  <c r="G134" i="30"/>
  <c r="E134" i="30"/>
  <c r="I127" i="30"/>
  <c r="C119" i="30"/>
  <c r="I113" i="30"/>
  <c r="G113" i="30"/>
  <c r="E113" i="30"/>
  <c r="G110" i="30"/>
  <c r="D108" i="30"/>
  <c r="D92" i="30"/>
  <c r="C92" i="30"/>
  <c r="E88" i="30"/>
  <c r="J86" i="30"/>
  <c r="E84" i="30"/>
  <c r="E82" i="30"/>
  <c r="E81" i="30"/>
  <c r="E80" i="30"/>
  <c r="J79" i="30"/>
  <c r="G75" i="30"/>
  <c r="D73" i="30"/>
  <c r="C67" i="30"/>
  <c r="B67" i="30"/>
  <c r="A67" i="30"/>
  <c r="C66" i="30"/>
  <c r="B66" i="30"/>
  <c r="A66" i="30"/>
  <c r="C65" i="30"/>
  <c r="C64" i="30"/>
  <c r="C63" i="30"/>
  <c r="C60" i="30"/>
  <c r="H55" i="30"/>
  <c r="C54" i="30"/>
  <c r="G41" i="30"/>
  <c r="D39" i="30"/>
  <c r="L38"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E9" i="30"/>
  <c r="D9" i="30"/>
  <c r="C9" i="30"/>
  <c r="E8" i="30"/>
  <c r="D8" i="30"/>
  <c r="C8" i="30"/>
  <c r="E7" i="30"/>
  <c r="D7" i="30"/>
  <c r="C7" i="30"/>
  <c r="G5" i="30"/>
  <c r="D3" i="30"/>
  <c r="L2" i="30"/>
  <c r="L1" i="30"/>
  <c r="G1" i="30"/>
  <c r="B1" i="30"/>
  <c r="R236" i="28"/>
  <c r="R234" i="28"/>
  <c r="R223" i="28"/>
  <c r="R222" i="28"/>
  <c r="R221" i="28"/>
  <c r="R220" i="28"/>
  <c r="R219" i="28"/>
  <c r="R213" i="28"/>
  <c r="R212" i="28"/>
  <c r="R211" i="28"/>
  <c r="R209" i="28"/>
  <c r="R208" i="28"/>
  <c r="R204" i="28"/>
  <c r="R201" i="28"/>
  <c r="Y191" i="28"/>
  <c r="Y190" i="28"/>
  <c r="Y189" i="28"/>
  <c r="R189" i="28"/>
  <c r="O180" i="28"/>
  <c r="O186" i="28" s="1"/>
  <c r="O170" i="28"/>
  <c r="R157" i="28"/>
  <c r="Z149" i="28"/>
  <c r="Z154" i="28" s="1"/>
  <c r="Y149" i="28"/>
  <c r="Y150" i="28" s="1"/>
  <c r="Y152" i="28" s="1"/>
  <c r="O148" i="28"/>
  <c r="R155" i="28" s="1"/>
  <c r="Z138" i="28"/>
  <c r="Z143" i="28" s="1"/>
  <c r="Y138" i="28"/>
  <c r="Y143" i="28" s="1"/>
  <c r="O137" i="28"/>
  <c r="R144" i="28" s="1"/>
  <c r="R124" i="28"/>
  <c r="R123" i="28"/>
  <c r="R122" i="28"/>
  <c r="O121" i="28"/>
  <c r="Q113" i="27" s="1"/>
  <c r="R120" i="28"/>
  <c r="R118" i="28"/>
  <c r="O113" i="28"/>
  <c r="O112" i="28"/>
  <c r="R103" i="28"/>
  <c r="O100" i="28"/>
  <c r="O99" i="28"/>
  <c r="O98" i="28"/>
  <c r="O97" i="28"/>
  <c r="O96" i="28"/>
  <c r="R90" i="28"/>
  <c r="R84" i="28"/>
  <c r="R87" i="28" s="1"/>
  <c r="L67" i="28"/>
  <c r="L74" i="28" s="1"/>
  <c r="L56" i="28"/>
  <c r="V37" i="28"/>
  <c r="U37" i="28"/>
  <c r="V36" i="28"/>
  <c r="U36" i="28"/>
  <c r="V35" i="28"/>
  <c r="U35" i="28"/>
  <c r="O2" i="28"/>
  <c r="O1" i="28"/>
  <c r="R229" i="28" s="1"/>
  <c r="I1" i="28"/>
  <c r="E1" i="28"/>
  <c r="K118" i="27"/>
  <c r="M95" i="27"/>
  <c r="AA91" i="27"/>
  <c r="AA90" i="27"/>
  <c r="L69" i="27"/>
  <c r="L65" i="27"/>
  <c r="I56" i="27"/>
  <c r="H56" i="27"/>
  <c r="G56" i="27"/>
  <c r="I34" i="27"/>
  <c r="H34" i="27"/>
  <c r="G34" i="27"/>
  <c r="J33" i="27"/>
  <c r="J32" i="27"/>
  <c r="J31" i="27"/>
  <c r="Z29" i="27"/>
  <c r="Y29" i="27"/>
  <c r="J29" i="27"/>
  <c r="L2" i="27"/>
  <c r="L1" i="27"/>
  <c r="I1" i="27"/>
  <c r="E1" i="27"/>
  <c r="Q14" i="31"/>
  <c r="Q16" i="31"/>
  <c r="Q10" i="31"/>
  <c r="F1" i="31"/>
  <c r="C1" i="31"/>
  <c r="I38" i="15"/>
  <c r="I36" i="15"/>
  <c r="L31" i="15"/>
  <c r="I29" i="15"/>
  <c r="I23" i="15"/>
  <c r="I19" i="15"/>
  <c r="I14" i="15"/>
  <c r="L13" i="15"/>
  <c r="I12" i="15"/>
  <c r="L12" i="15" s="1"/>
  <c r="L11" i="15"/>
  <c r="L2" i="15"/>
  <c r="L1" i="15"/>
  <c r="E1" i="15"/>
  <c r="F51" i="14"/>
  <c r="F50" i="14"/>
  <c r="E46" i="14"/>
  <c r="D46" i="14"/>
  <c r="F45" i="14"/>
  <c r="F44" i="14"/>
  <c r="F43" i="14"/>
  <c r="E41" i="14"/>
  <c r="D41" i="14"/>
  <c r="F40" i="14"/>
  <c r="F39" i="14"/>
  <c r="F38" i="14"/>
  <c r="N36" i="14"/>
  <c r="L36" i="14"/>
  <c r="N35" i="14"/>
  <c r="L35" i="14"/>
  <c r="N34" i="14"/>
  <c r="N33" i="14"/>
  <c r="L33" i="14"/>
  <c r="N32" i="14"/>
  <c r="L32" i="14"/>
  <c r="E32" i="14"/>
  <c r="N31" i="14"/>
  <c r="E31" i="14"/>
  <c r="N30" i="14"/>
  <c r="E30" i="14"/>
  <c r="N29" i="14"/>
  <c r="E29" i="14"/>
  <c r="N28" i="14"/>
  <c r="E28" i="14"/>
  <c r="N27" i="14"/>
  <c r="E27" i="14"/>
  <c r="N26" i="14"/>
  <c r="E26" i="14"/>
  <c r="N25" i="14"/>
  <c r="E25" i="14"/>
  <c r="N24" i="14"/>
  <c r="N23" i="14"/>
  <c r="N22" i="14"/>
  <c r="N21" i="14"/>
  <c r="N20" i="14"/>
  <c r="D20" i="14"/>
  <c r="N19" i="14"/>
  <c r="D19" i="14"/>
  <c r="N18" i="14"/>
  <c r="D18" i="14"/>
  <c r="N17" i="14"/>
  <c r="D17" i="14"/>
  <c r="N16" i="14"/>
  <c r="D16" i="14"/>
  <c r="N15" i="14"/>
  <c r="D15" i="14"/>
  <c r="N14" i="14"/>
  <c r="D14" i="14"/>
  <c r="N13" i="14"/>
  <c r="N12" i="14"/>
  <c r="N11" i="14"/>
  <c r="D11" i="14"/>
  <c r="N10" i="14"/>
  <c r="N9" i="14"/>
  <c r="N8" i="14"/>
  <c r="N7" i="14"/>
  <c r="N6" i="14"/>
  <c r="N5" i="14"/>
  <c r="I2" i="14"/>
  <c r="I1" i="14"/>
  <c r="A1" i="14"/>
  <c r="H62" i="13"/>
  <c r="F60" i="13"/>
  <c r="D60" i="13"/>
  <c r="F59" i="13"/>
  <c r="D59" i="13"/>
  <c r="F57" i="13"/>
  <c r="D57" i="13"/>
  <c r="F55" i="13"/>
  <c r="D55" i="13"/>
  <c r="F53" i="13"/>
  <c r="D53" i="13"/>
  <c r="F52" i="13"/>
  <c r="D52" i="13"/>
  <c r="F51" i="13"/>
  <c r="D51" i="13"/>
  <c r="F50" i="13"/>
  <c r="D50" i="13"/>
  <c r="F49" i="13"/>
  <c r="D49" i="13"/>
  <c r="F48" i="13"/>
  <c r="D48" i="13"/>
  <c r="F46" i="13"/>
  <c r="D46" i="13"/>
  <c r="F43" i="13"/>
  <c r="D43" i="13"/>
  <c r="F42" i="13"/>
  <c r="D42" i="13"/>
  <c r="F41" i="13"/>
  <c r="D41" i="13"/>
  <c r="F40" i="13"/>
  <c r="D40" i="13"/>
  <c r="F39" i="13"/>
  <c r="D39" i="13"/>
  <c r="F38" i="13"/>
  <c r="D38" i="13"/>
  <c r="F37" i="13"/>
  <c r="D37" i="13"/>
  <c r="F36" i="13"/>
  <c r="D36" i="13"/>
  <c r="F35" i="13"/>
  <c r="D35" i="13"/>
  <c r="F33" i="13"/>
  <c r="D33" i="13"/>
  <c r="C24" i="13"/>
  <c r="C23" i="13"/>
  <c r="C22" i="13"/>
  <c r="D16" i="13"/>
  <c r="C16" i="13"/>
  <c r="E15" i="13"/>
  <c r="I11" i="13"/>
  <c r="I10" i="13"/>
  <c r="I4" i="13"/>
  <c r="H4" i="13"/>
  <c r="G4" i="13"/>
  <c r="F4" i="13"/>
  <c r="E4" i="13"/>
  <c r="I2" i="13"/>
  <c r="K5" i="13" s="1"/>
  <c r="I1" i="13"/>
  <c r="A1" i="13"/>
  <c r="K30" i="17"/>
  <c r="I30" i="17"/>
  <c r="H30" i="17"/>
  <c r="G30" i="17"/>
  <c r="F30" i="17"/>
  <c r="E30" i="17"/>
  <c r="M29" i="17"/>
  <c r="M28" i="17"/>
  <c r="M27" i="17"/>
  <c r="M26" i="17"/>
  <c r="M25" i="17"/>
  <c r="M24" i="17"/>
  <c r="M23" i="17"/>
  <c r="M22" i="17"/>
  <c r="M20" i="17"/>
  <c r="K18" i="17"/>
  <c r="I18" i="17"/>
  <c r="H18" i="17"/>
  <c r="G18" i="17"/>
  <c r="F18" i="17"/>
  <c r="E18" i="17"/>
  <c r="M17" i="17"/>
  <c r="M16" i="17"/>
  <c r="M15" i="17"/>
  <c r="M14" i="17"/>
  <c r="M13" i="17"/>
  <c r="M12" i="17"/>
  <c r="M11" i="17"/>
  <c r="M10" i="17"/>
  <c r="M8" i="17"/>
  <c r="M6" i="17"/>
  <c r="N1" i="17"/>
  <c r="K1" i="17"/>
  <c r="G1" i="17"/>
  <c r="B1" i="17"/>
  <c r="K2" i="19"/>
  <c r="K1" i="19"/>
  <c r="G1" i="19"/>
  <c r="E1" i="19"/>
  <c r="N37" i="8"/>
  <c r="M2" i="8"/>
  <c r="M1" i="8"/>
  <c r="G1" i="8"/>
  <c r="D1" i="8"/>
  <c r="J47" i="7"/>
  <c r="J39" i="7"/>
  <c r="G39" i="7"/>
  <c r="T1" i="7"/>
  <c r="P1" i="7"/>
  <c r="J1" i="7"/>
  <c r="D1" i="7"/>
  <c r="A30" i="23"/>
  <c r="K26" i="23"/>
  <c r="I26" i="23"/>
  <c r="G26" i="23"/>
  <c r="E26" i="23"/>
  <c r="K21" i="23"/>
  <c r="I21" i="23"/>
  <c r="G21" i="23"/>
  <c r="E18" i="23"/>
  <c r="E17" i="23"/>
  <c r="E16" i="23"/>
  <c r="N1" i="23"/>
  <c r="K1" i="23"/>
  <c r="H1" i="23"/>
  <c r="B1" i="23"/>
  <c r="D21" i="5"/>
  <c r="J19" i="5"/>
  <c r="I19" i="5"/>
  <c r="H19" i="5"/>
  <c r="G19" i="5"/>
  <c r="F19" i="5"/>
  <c r="E19" i="5"/>
  <c r="L18" i="5"/>
  <c r="L17" i="5"/>
  <c r="L16" i="5"/>
  <c r="L15" i="5"/>
  <c r="L14" i="5"/>
  <c r="L13" i="5"/>
  <c r="L12" i="5"/>
  <c r="L10" i="5"/>
  <c r="L8" i="5"/>
  <c r="L7" i="5"/>
  <c r="N1" i="5"/>
  <c r="L1" i="5"/>
  <c r="H1" i="5"/>
  <c r="B1" i="5"/>
  <c r="B36" i="29"/>
  <c r="I14" i="29"/>
  <c r="H14" i="29"/>
  <c r="G14" i="29"/>
  <c r="F14" i="29"/>
  <c r="E14" i="29"/>
  <c r="D14" i="29"/>
  <c r="K13" i="29"/>
  <c r="K12" i="29"/>
  <c r="K11" i="29"/>
  <c r="K10" i="29"/>
  <c r="K9" i="29"/>
  <c r="K8" i="29"/>
  <c r="K7" i="29"/>
  <c r="K6" i="29"/>
  <c r="K5" i="29"/>
  <c r="N1" i="29"/>
  <c r="K1" i="29"/>
  <c r="G1" i="29"/>
  <c r="B1" i="29"/>
  <c r="G24" i="3"/>
  <c r="G23" i="3"/>
  <c r="G16" i="3"/>
  <c r="R1" i="3"/>
  <c r="O1" i="3"/>
  <c r="I1" i="3"/>
  <c r="C1" i="3"/>
  <c r="L41" i="2"/>
  <c r="L40" i="2"/>
  <c r="R237" i="28" s="1"/>
  <c r="L35" i="2"/>
  <c r="M35" i="2" s="1"/>
  <c r="J34" i="2"/>
  <c r="I34" i="2"/>
  <c r="H34" i="2"/>
  <c r="G34" i="2"/>
  <c r="F34" i="2"/>
  <c r="E34" i="2"/>
  <c r="L33" i="2"/>
  <c r="L32" i="2"/>
  <c r="L31" i="2"/>
  <c r="L30" i="2"/>
  <c r="L29" i="2"/>
  <c r="L28" i="2"/>
  <c r="L27" i="2"/>
  <c r="L26" i="2"/>
  <c r="L24" i="2"/>
  <c r="J22" i="2"/>
  <c r="I22" i="2"/>
  <c r="H22" i="2"/>
  <c r="G22" i="2"/>
  <c r="F22" i="2"/>
  <c r="E22" i="2"/>
  <c r="L21" i="2"/>
  <c r="L20" i="2"/>
  <c r="L19" i="2"/>
  <c r="L18" i="2"/>
  <c r="L17" i="2"/>
  <c r="L16" i="2"/>
  <c r="L15" i="2"/>
  <c r="L14" i="2"/>
  <c r="L13" i="2"/>
  <c r="L12" i="2"/>
  <c r="L11" i="2"/>
  <c r="L10" i="2"/>
  <c r="L8" i="2"/>
  <c r="L6" i="2"/>
  <c r="M1" i="2"/>
  <c r="J1" i="2"/>
  <c r="G1" i="2"/>
  <c r="B1" i="2"/>
  <c r="V40" i="16"/>
  <c r="V39" i="16"/>
  <c r="J5" i="29" s="1"/>
  <c r="S33" i="16"/>
  <c r="T31" i="16"/>
  <c r="P31" i="16"/>
  <c r="F31" i="16"/>
  <c r="U27" i="16"/>
  <c r="S26" i="16"/>
  <c r="S25" i="16"/>
  <c r="Q22" i="16"/>
  <c r="N22" i="16"/>
  <c r="G15" i="16"/>
  <c r="G14" i="16"/>
  <c r="G13" i="16"/>
  <c r="N10" i="16"/>
  <c r="I12" i="13" l="1"/>
  <c r="S34" i="16"/>
  <c r="I13" i="13" s="1"/>
  <c r="G16" i="14"/>
  <c r="R210" i="28"/>
  <c r="L5" i="27"/>
  <c r="L34" i="2"/>
  <c r="F33" i="14" s="1"/>
  <c r="L22" i="2"/>
  <c r="H38" i="13"/>
  <c r="V38" i="28"/>
  <c r="O39" i="28" s="1"/>
  <c r="U38" i="28"/>
  <c r="O38" i="28" s="1"/>
  <c r="O114" i="28"/>
  <c r="H39" i="13"/>
  <c r="H51" i="13"/>
  <c r="H55" i="13"/>
  <c r="H41" i="13"/>
  <c r="H49" i="13"/>
  <c r="H40" i="13"/>
  <c r="H60" i="13"/>
  <c r="H36" i="13"/>
  <c r="H35" i="13"/>
  <c r="H59" i="13"/>
  <c r="H52" i="13"/>
  <c r="H42" i="13"/>
  <c r="H50" i="13"/>
  <c r="H33" i="13"/>
  <c r="I5" i="13"/>
  <c r="G40" i="7"/>
  <c r="H46" i="13"/>
  <c r="H48" i="13"/>
  <c r="H53" i="13"/>
  <c r="H43" i="13"/>
  <c r="H37" i="13"/>
  <c r="AA144" i="30"/>
  <c r="D12" i="14"/>
  <c r="D7" i="14"/>
  <c r="J42" i="2"/>
  <c r="J44" i="2" s="1"/>
  <c r="I42" i="2"/>
  <c r="I44" i="2" s="1"/>
  <c r="H42" i="2"/>
  <c r="H44" i="2" s="1"/>
  <c r="F42" i="2"/>
  <c r="E42" i="2"/>
  <c r="E44" i="2" s="1"/>
  <c r="R96" i="28"/>
  <c r="N29" i="17"/>
  <c r="N28" i="17"/>
  <c r="N27" i="17"/>
  <c r="N26" i="17"/>
  <c r="N25" i="17"/>
  <c r="N24" i="17"/>
  <c r="N23" i="17"/>
  <c r="N22" i="17"/>
  <c r="N20" i="17"/>
  <c r="N17" i="17"/>
  <c r="N16" i="17"/>
  <c r="N15" i="17"/>
  <c r="N14" i="17"/>
  <c r="N13" i="17"/>
  <c r="N12" i="17"/>
  <c r="N11" i="17"/>
  <c r="N10" i="17"/>
  <c r="F16" i="14"/>
  <c r="F17" i="14"/>
  <c r="M18" i="5"/>
  <c r="M14" i="5"/>
  <c r="M10" i="5"/>
  <c r="L8" i="29"/>
  <c r="L11" i="29"/>
  <c r="M31" i="2"/>
  <c r="M27" i="2"/>
  <c r="M11" i="2"/>
  <c r="M134" i="30"/>
  <c r="H35" i="30"/>
  <c r="F45" i="30" s="1"/>
  <c r="E33" i="30"/>
  <c r="E10" i="30"/>
  <c r="R238" i="28"/>
  <c r="R203" i="28"/>
  <c r="O176" i="28"/>
  <c r="O172" i="28"/>
  <c r="O174" i="28" s="1"/>
  <c r="O151" i="28"/>
  <c r="R125" i="28"/>
  <c r="L24" i="28"/>
  <c r="L29" i="28" s="1"/>
  <c r="H16" i="28"/>
  <c r="E47" i="14"/>
  <c r="F46" i="14"/>
  <c r="H46" i="14" s="1"/>
  <c r="H43" i="14"/>
  <c r="H38" i="14"/>
  <c r="H57" i="13"/>
  <c r="F54" i="13"/>
  <c r="F44" i="13"/>
  <c r="D19" i="13"/>
  <c r="C19" i="13"/>
  <c r="M30" i="17"/>
  <c r="M18" i="17"/>
  <c r="L6" i="17"/>
  <c r="J40" i="7"/>
  <c r="K27" i="23"/>
  <c r="I27" i="23"/>
  <c r="G27" i="23"/>
  <c r="J21" i="5"/>
  <c r="I21" i="5"/>
  <c r="H21" i="5"/>
  <c r="G21" i="5"/>
  <c r="F21" i="5"/>
  <c r="E21" i="5"/>
  <c r="L19" i="5"/>
  <c r="K7" i="5"/>
  <c r="I16" i="29"/>
  <c r="H16" i="29"/>
  <c r="G16" i="29"/>
  <c r="F16" i="29"/>
  <c r="E16" i="29"/>
  <c r="D16" i="29"/>
  <c r="K14" i="29"/>
  <c r="K6" i="2"/>
  <c r="F15" i="14"/>
  <c r="M15" i="5"/>
  <c r="M13" i="5"/>
  <c r="L7" i="29"/>
  <c r="M33" i="2"/>
  <c r="M30" i="2"/>
  <c r="M28" i="2"/>
  <c r="M8" i="2"/>
  <c r="E153" i="30"/>
  <c r="E155" i="30" s="1"/>
  <c r="AA140" i="30"/>
  <c r="G135" i="30"/>
  <c r="E135" i="30"/>
  <c r="E92" i="30"/>
  <c r="E83" i="30"/>
  <c r="C10" i="30"/>
  <c r="R239" i="28"/>
  <c r="O153" i="28"/>
  <c r="O150" i="28"/>
  <c r="J24" i="28"/>
  <c r="J29" i="28" s="1"/>
  <c r="H24" i="28"/>
  <c r="L16" i="28"/>
  <c r="L21" i="28" s="1"/>
  <c r="J34" i="27"/>
  <c r="L29" i="15"/>
  <c r="D47" i="14"/>
  <c r="H44" i="14"/>
  <c r="H39" i="14"/>
  <c r="E14" i="14"/>
  <c r="M16" i="5"/>
  <c r="M8" i="5"/>
  <c r="L9" i="29"/>
  <c r="M32" i="2"/>
  <c r="M29" i="2"/>
  <c r="M12" i="2"/>
  <c r="M10" i="2"/>
  <c r="G153" i="30"/>
  <c r="G155" i="30" s="1"/>
  <c r="I35" i="30"/>
  <c r="H45" i="30" s="1"/>
  <c r="C33" i="30"/>
  <c r="M17" i="5"/>
  <c r="M12" i="5"/>
  <c r="E156" i="30"/>
  <c r="M129" i="30"/>
  <c r="E115" i="30"/>
  <c r="E114" i="30"/>
  <c r="I36" i="30"/>
  <c r="G35" i="30"/>
  <c r="D45" i="30" s="1"/>
  <c r="D33" i="30"/>
  <c r="AA15" i="30"/>
  <c r="D10" i="30"/>
  <c r="F7" i="30"/>
  <c r="O175" i="28"/>
  <c r="I24" i="28"/>
  <c r="I29" i="28" s="1"/>
  <c r="J16" i="28"/>
  <c r="I16" i="28"/>
  <c r="I17" i="28" s="1"/>
  <c r="I19" i="28" s="1"/>
  <c r="K31" i="27"/>
  <c r="H45" i="14"/>
  <c r="F41" i="14"/>
  <c r="H41" i="14" s="1"/>
  <c r="H40" i="14"/>
  <c r="E33" i="14"/>
  <c r="F27" i="7"/>
  <c r="I27" i="7"/>
  <c r="L14" i="15"/>
  <c r="N37" i="14"/>
  <c r="D21" i="14" s="1"/>
  <c r="M21" i="2"/>
  <c r="M24" i="2"/>
  <c r="M13" i="2"/>
  <c r="M14" i="2"/>
  <c r="M15" i="2"/>
  <c r="M16" i="2"/>
  <c r="M40" i="2"/>
  <c r="M17" i="2"/>
  <c r="M41" i="2"/>
  <c r="M18" i="2"/>
  <c r="M19" i="2"/>
  <c r="M20" i="2"/>
  <c r="M26" i="2"/>
  <c r="A4" i="13"/>
  <c r="AA142" i="30"/>
  <c r="AA143" i="30"/>
  <c r="C4" i="13"/>
  <c r="D4" i="13"/>
  <c r="AA141" i="30"/>
  <c r="G156" i="30"/>
  <c r="K113" i="30"/>
  <c r="K115" i="30" s="1"/>
  <c r="E86" i="30"/>
  <c r="O67" i="28"/>
  <c r="O74" i="28" s="1"/>
  <c r="C118" i="30"/>
  <c r="F9" i="30"/>
  <c r="H9" i="30" s="1"/>
  <c r="O139" i="28"/>
  <c r="Y139" i="28"/>
  <c r="Y141" i="28" s="1"/>
  <c r="R99" i="28"/>
  <c r="L68" i="28"/>
  <c r="O182" i="28"/>
  <c r="O184" i="28" s="1"/>
  <c r="R107" i="28"/>
  <c r="Z139" i="28"/>
  <c r="Z141" i="28" s="1"/>
  <c r="O140" i="28"/>
  <c r="O185" i="28"/>
  <c r="R187" i="28" s="1"/>
  <c r="Z150" i="28"/>
  <c r="Z152" i="28" s="1"/>
  <c r="L70" i="28"/>
  <c r="L72" i="28"/>
  <c r="O56" i="28"/>
  <c r="R225" i="28"/>
  <c r="Y154" i="28"/>
  <c r="R226" i="28"/>
  <c r="O142" i="28"/>
  <c r="R88" i="28"/>
  <c r="R227" i="28"/>
  <c r="L57" i="28"/>
  <c r="L59" i="28" s="1"/>
  <c r="L61" i="28" s="1"/>
  <c r="L63" i="28" s="1"/>
  <c r="G114" i="30" s="1"/>
  <c r="G115" i="30" s="1"/>
  <c r="R228" i="28"/>
  <c r="R214" i="28"/>
  <c r="C61" i="30" s="1"/>
  <c r="R97" i="28"/>
  <c r="R98" i="28"/>
  <c r="Y192" i="28"/>
  <c r="Y193" i="28" s="1"/>
  <c r="Y194" i="28" s="1"/>
  <c r="R158" i="28"/>
  <c r="R159" i="28" s="1"/>
  <c r="R160" i="28" s="1"/>
  <c r="G36" i="13"/>
  <c r="G42" i="13"/>
  <c r="G53" i="13"/>
  <c r="G33" i="13"/>
  <c r="G35" i="13"/>
  <c r="G43" i="13"/>
  <c r="G39" i="13"/>
  <c r="G55" i="13"/>
  <c r="G57" i="13"/>
  <c r="G37" i="13"/>
  <c r="G48" i="13"/>
  <c r="G38" i="13"/>
  <c r="G49" i="13"/>
  <c r="G59" i="13"/>
  <c r="G50" i="13"/>
  <c r="G41" i="13"/>
  <c r="E18" i="14"/>
  <c r="F18" i="14" s="1"/>
  <c r="G60" i="13"/>
  <c r="D30" i="17"/>
  <c r="K14" i="19"/>
  <c r="F16" i="3"/>
  <c r="J26" i="23"/>
  <c r="D26" i="23"/>
  <c r="G46" i="13"/>
  <c r="F21" i="23"/>
  <c r="H26" i="23"/>
  <c r="I39" i="7"/>
  <c r="C12" i="14" s="1"/>
  <c r="E44" i="13"/>
  <c r="E21" i="23"/>
  <c r="E27" i="23" s="1"/>
  <c r="D21" i="23"/>
  <c r="F26" i="23"/>
  <c r="G56" i="13"/>
  <c r="F56" i="13"/>
  <c r="E20" i="14"/>
  <c r="F20" i="14"/>
  <c r="D54" i="13"/>
  <c r="D44" i="13"/>
  <c r="I24" i="15"/>
  <c r="I26" i="15" s="1"/>
  <c r="F39" i="7"/>
  <c r="L18" i="17"/>
  <c r="C8" i="14" s="1"/>
  <c r="C54" i="13"/>
  <c r="R85" i="28"/>
  <c r="G51" i="13"/>
  <c r="J21" i="23"/>
  <c r="H21" i="23"/>
  <c r="D34" i="2"/>
  <c r="K22" i="2"/>
  <c r="D18" i="17"/>
  <c r="D22" i="2"/>
  <c r="D56" i="13"/>
  <c r="G42" i="2"/>
  <c r="G44" i="2" s="1"/>
  <c r="L6" i="29"/>
  <c r="F19" i="14"/>
  <c r="E19" i="14"/>
  <c r="G40" i="13"/>
  <c r="E15" i="14"/>
  <c r="M37" i="14"/>
  <c r="C21" i="14" s="1"/>
  <c r="N8" i="17"/>
  <c r="C44" i="13"/>
  <c r="G52" i="13"/>
  <c r="L30" i="17"/>
  <c r="D33" i="14"/>
  <c r="K34" i="2"/>
  <c r="E54" i="13"/>
  <c r="K19" i="5"/>
  <c r="K21" i="5" s="1"/>
  <c r="F14" i="14"/>
  <c r="F6" i="15"/>
  <c r="E16" i="14"/>
  <c r="E17" i="14"/>
  <c r="I121" i="30" l="1"/>
  <c r="E121" i="30"/>
  <c r="E124" i="30" s="1"/>
  <c r="G121" i="30"/>
  <c r="K121" i="30"/>
  <c r="K124" i="30" s="1"/>
  <c r="G133" i="30" s="1"/>
  <c r="C120" i="30"/>
  <c r="M34" i="2"/>
  <c r="I14" i="3"/>
  <c r="M135" i="30"/>
  <c r="H15" i="8" s="1"/>
  <c r="M22" i="2"/>
  <c r="I38" i="13"/>
  <c r="I39" i="13"/>
  <c r="I51" i="13"/>
  <c r="I55" i="13"/>
  <c r="I49" i="13"/>
  <c r="I41" i="13"/>
  <c r="I40" i="13"/>
  <c r="I36" i="13"/>
  <c r="I42" i="13"/>
  <c r="I53" i="13"/>
  <c r="I33" i="13"/>
  <c r="I35" i="13"/>
  <c r="I43" i="13"/>
  <c r="I37" i="13"/>
  <c r="I48" i="13"/>
  <c r="I59" i="13"/>
  <c r="I50" i="13"/>
  <c r="I60" i="13"/>
  <c r="I46" i="13"/>
  <c r="H44" i="13"/>
  <c r="I52" i="13"/>
  <c r="H54" i="13"/>
  <c r="G157" i="30"/>
  <c r="E87" i="30"/>
  <c r="E12" i="14"/>
  <c r="E89" i="30"/>
  <c r="E90" i="30" s="1"/>
  <c r="E85" i="30"/>
  <c r="H17" i="28"/>
  <c r="H19" i="28" s="1"/>
  <c r="H21" i="28"/>
  <c r="D9" i="14"/>
  <c r="T7" i="7"/>
  <c r="D8" i="14"/>
  <c r="F8" i="14" s="1"/>
  <c r="T6" i="7"/>
  <c r="L21" i="5"/>
  <c r="M21" i="5" s="1"/>
  <c r="E8" i="23"/>
  <c r="B24" i="13"/>
  <c r="D13" i="14"/>
  <c r="Q26" i="16"/>
  <c r="K16" i="29"/>
  <c r="B23" i="13"/>
  <c r="D10" i="14"/>
  <c r="H25" i="28"/>
  <c r="H27" i="28" s="1"/>
  <c r="H29" i="28"/>
  <c r="O22" i="8"/>
  <c r="K28" i="27"/>
  <c r="I7" i="30"/>
  <c r="H7" i="30"/>
  <c r="G7" i="30"/>
  <c r="E11" i="30"/>
  <c r="O152" i="28"/>
  <c r="R154" i="28" s="1"/>
  <c r="F47" i="14"/>
  <c r="H47" i="14" s="1"/>
  <c r="E34" i="30"/>
  <c r="E157" i="30"/>
  <c r="G124" i="30"/>
  <c r="J17" i="28"/>
  <c r="J19" i="28" s="1"/>
  <c r="J21" i="28" s="1"/>
  <c r="AA13" i="30" s="1"/>
  <c r="F8" i="30" s="1"/>
  <c r="J25" i="28"/>
  <c r="J27" i="28" s="1"/>
  <c r="L17" i="28"/>
  <c r="L19" i="28" s="1"/>
  <c r="L25" i="28"/>
  <c r="L27" i="28" s="1"/>
  <c r="I25" i="28"/>
  <c r="I27" i="28" s="1"/>
  <c r="R177" i="28"/>
  <c r="R190" i="28" s="1"/>
  <c r="R191" i="28" s="1"/>
  <c r="R192" i="28" s="1"/>
  <c r="I21" i="28"/>
  <c r="H12" i="30"/>
  <c r="F44" i="30" s="1"/>
  <c r="H57" i="30"/>
  <c r="D48" i="30"/>
  <c r="G8" i="30"/>
  <c r="I12" i="30"/>
  <c r="H44" i="30" s="1"/>
  <c r="E144" i="30"/>
  <c r="F48" i="30"/>
  <c r="H8" i="30"/>
  <c r="I8" i="30"/>
  <c r="I57" i="13"/>
  <c r="F44" i="2"/>
  <c r="E21" i="14"/>
  <c r="F61" i="13"/>
  <c r="F63" i="13" s="1"/>
  <c r="O70" i="28"/>
  <c r="O68" i="28"/>
  <c r="K114" i="30"/>
  <c r="H53" i="30"/>
  <c r="E145" i="30"/>
  <c r="H51" i="30"/>
  <c r="G9" i="30"/>
  <c r="H48" i="30"/>
  <c r="F46" i="30"/>
  <c r="H46" i="30"/>
  <c r="D46" i="30"/>
  <c r="R235" i="28"/>
  <c r="I9" i="30"/>
  <c r="O72" i="28"/>
  <c r="I13" i="30"/>
  <c r="D36" i="29" s="1"/>
  <c r="G12" i="30"/>
  <c r="D44" i="30" s="1"/>
  <c r="G18" i="19"/>
  <c r="L24" i="19" s="1"/>
  <c r="K18" i="19"/>
  <c r="R89" i="28"/>
  <c r="R91" i="28" s="1"/>
  <c r="O59" i="28"/>
  <c r="O57" i="28"/>
  <c r="O63" i="28"/>
  <c r="O61" i="28"/>
  <c r="AA168" i="30"/>
  <c r="I114" i="30" s="1"/>
  <c r="I115" i="30" s="1"/>
  <c r="C62" i="30"/>
  <c r="H68" i="30" s="1"/>
  <c r="O141" i="28"/>
  <c r="R143" i="28" s="1"/>
  <c r="H56" i="13"/>
  <c r="F12" i="14"/>
  <c r="E61" i="13"/>
  <c r="E63" i="13" s="1"/>
  <c r="I40" i="7"/>
  <c r="D42" i="2"/>
  <c r="D44" i="2" s="1"/>
  <c r="F40" i="7"/>
  <c r="C61" i="13"/>
  <c r="C63" i="13" s="1"/>
  <c r="S6" i="7"/>
  <c r="N18" i="17"/>
  <c r="G54" i="13"/>
  <c r="I34" i="15"/>
  <c r="I37" i="15"/>
  <c r="C11" i="14"/>
  <c r="K42" i="2"/>
  <c r="D61" i="13"/>
  <c r="D63" i="13" s="1"/>
  <c r="L42" i="2"/>
  <c r="F21" i="14"/>
  <c r="G44" i="13"/>
  <c r="C9" i="14"/>
  <c r="S7" i="7"/>
  <c r="N30" i="17"/>
  <c r="C13" i="14"/>
  <c r="D8" i="23"/>
  <c r="M19" i="5"/>
  <c r="M115" i="30" l="1"/>
  <c r="M124" i="30"/>
  <c r="I124" i="30"/>
  <c r="G132" i="30" s="1"/>
  <c r="G136" i="30" s="1"/>
  <c r="G163" i="30" s="1"/>
  <c r="E146" i="30"/>
  <c r="G144" i="30" s="1"/>
  <c r="E93" i="30"/>
  <c r="J80" i="30" s="1"/>
  <c r="H69" i="30"/>
  <c r="J85" i="30" s="1"/>
  <c r="E8" i="14"/>
  <c r="I54" i="13"/>
  <c r="L157" i="30"/>
  <c r="E132" i="30"/>
  <c r="H61" i="13"/>
  <c r="H63" i="13" s="1"/>
  <c r="I44" i="13"/>
  <c r="C6" i="14"/>
  <c r="K44" i="2"/>
  <c r="W18" i="16"/>
  <c r="L91" i="28"/>
  <c r="N91" i="28" s="1"/>
  <c r="I56" i="13"/>
  <c r="H18" i="19"/>
  <c r="M42" i="2"/>
  <c r="E13" i="14"/>
  <c r="F13" i="14" s="1"/>
  <c r="G61" i="13"/>
  <c r="E11" i="14"/>
  <c r="F11" i="14" s="1"/>
  <c r="B22" i="13"/>
  <c r="L44" i="2"/>
  <c r="G4" i="14"/>
  <c r="D6" i="14"/>
  <c r="Q25" i="16"/>
  <c r="F9" i="14"/>
  <c r="E9" i="14"/>
  <c r="C104" i="30" l="1"/>
  <c r="C99" i="30"/>
  <c r="C101" i="30" s="1"/>
  <c r="E103" i="30" s="1"/>
  <c r="J78" i="30"/>
  <c r="J81" i="30" s="1"/>
  <c r="G145" i="30"/>
  <c r="E136" i="30"/>
  <c r="M132" i="30"/>
  <c r="H14" i="8" s="1"/>
  <c r="H17" i="8" s="1"/>
  <c r="I61" i="13"/>
  <c r="G63" i="13"/>
  <c r="M44" i="2"/>
  <c r="E6" i="14"/>
  <c r="F6" i="14" s="1"/>
  <c r="E105" i="30" l="1"/>
  <c r="J87" i="30" s="1"/>
  <c r="J88" i="30" s="1"/>
  <c r="H10" i="8" s="1"/>
  <c r="M136" i="30"/>
  <c r="E163" i="30"/>
  <c r="L163" i="30" s="1"/>
  <c r="M17" i="8"/>
  <c r="N15" i="8"/>
  <c r="I63" i="13"/>
  <c r="I144" i="30" l="1"/>
  <c r="L144" i="30" s="1"/>
  <c r="E162" i="30" s="1"/>
  <c r="E164" i="30" s="1"/>
  <c r="J90" i="30"/>
  <c r="I145" i="30"/>
  <c r="L145" i="30" s="1"/>
  <c r="G162" i="30" s="1"/>
  <c r="G164" i="30" s="1"/>
  <c r="G165" i="30" s="1"/>
  <c r="G166" i="30" s="1"/>
  <c r="O8" i="16"/>
  <c r="N9" i="8"/>
  <c r="M10" i="8"/>
  <c r="M60" i="8" s="1"/>
  <c r="L162" i="30" l="1"/>
  <c r="L146" i="30"/>
  <c r="L164" i="30"/>
  <c r="E165" i="30"/>
  <c r="L165" i="30" s="1"/>
  <c r="K28" i="19"/>
  <c r="K30" i="19" s="1"/>
  <c r="E166" i="30" l="1"/>
  <c r="L166" i="30" s="1"/>
  <c r="D24" i="13"/>
  <c r="U26" i="16"/>
  <c r="F22" i="5"/>
  <c r="V26" i="16" l="1"/>
  <c r="L100" i="28" l="1"/>
  <c r="R100" i="28" s="1"/>
  <c r="I46" i="7"/>
  <c r="I45" i="7"/>
  <c r="I44" i="7"/>
  <c r="I43" i="7"/>
  <c r="D32" i="29"/>
  <c r="J15" i="29"/>
  <c r="J10" i="29"/>
  <c r="I47" i="7" l="1"/>
  <c r="C7" i="14" s="1"/>
  <c r="E7" i="14" s="1"/>
  <c r="F7" i="14" s="1"/>
  <c r="J41" i="8"/>
  <c r="R101" i="28"/>
  <c r="R102" i="28" s="1"/>
  <c r="R104" i="28" s="1"/>
  <c r="J14" i="29"/>
  <c r="L10" i="29"/>
  <c r="D34" i="29"/>
  <c r="D39" i="29" s="1"/>
  <c r="E33" i="29"/>
  <c r="J35" i="8" l="1"/>
  <c r="C28" i="31" s="1"/>
  <c r="R108" i="28"/>
  <c r="R109" i="28" s="1"/>
  <c r="O111" i="28" s="1"/>
  <c r="R115" i="28" s="1"/>
  <c r="J58" i="8"/>
  <c r="G45" i="2" s="1"/>
  <c r="D23" i="13"/>
  <c r="L17" i="29"/>
  <c r="J16" i="29"/>
  <c r="L16" i="29" s="1"/>
  <c r="L14" i="29"/>
  <c r="C10" i="14"/>
  <c r="E10" i="14" s="1"/>
  <c r="F10" i="14" s="1"/>
  <c r="Q28" i="31" l="1"/>
  <c r="C29" i="31"/>
  <c r="Q29" i="31" s="1"/>
  <c r="C31" i="31"/>
  <c r="U25" i="16"/>
  <c r="V25" i="16" s="1"/>
  <c r="D22" i="13"/>
  <c r="Q31" i="31" l="1"/>
  <c r="U28"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<sst xmlns="http://schemas.openxmlformats.org/spreadsheetml/2006/main" count="2962" uniqueCount="1433">
  <si>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</si>
  <si>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</si>
  <si>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</si>
  <si>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</si>
  <si>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</si>
  <si>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</si>
  <si>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</si>
  <si>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</si>
  <si>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</si>
  <si>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</si>
  <si>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</si>
  <si>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</si>
  <si>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</si>
  <si>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</si>
  <si>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</si>
  <si>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</si>
  <si>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</si>
  <si>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</si>
  <si>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</si>
  <si>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</si>
  <si>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</si>
  <si>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</si>
  <si>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</si>
  <si>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</si>
  <si>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</si>
  <si>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</si>
  <si>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</si>
  <si>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</si>
  <si>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</si>
  <si>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</si>
  <si>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</si>
  <si>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</si>
  <si>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</si>
  <si>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</si>
  <si>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</si>
  <si>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</si>
  <si>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</si>
  <si>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</si>
  <si>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</si>
  <si>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</si>
  <si>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</si>
  <si>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</si>
  <si>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</si>
  <si>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</si>
  <si>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</si>
  <si>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</si>
  <si>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</si>
  <si>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</si>
  <si>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</si>
  <si>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</si>
  <si>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</si>
  <si>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</si>
  <si>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</si>
  <si>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</si>
  <si>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</si>
  <si>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</si>
  <si>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</si>
  <si>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</si>
  <si>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</si>
  <si>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</si>
  <si>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</si>
  <si>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</si>
  <si>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</si>
  <si>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</si>
  <si>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</si>
  <si>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</si>
  <si>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</si>
  <si>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</si>
  <si>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</si>
  <si>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</si>
  <si>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</si>
  <si>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</si>
  <si>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</si>
  <si>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</si>
  <si>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</si>
  <si>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</si>
  <si>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</si>
  <si>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</si>
  <si>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</si>
  <si>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</si>
  <si>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</si>
  <si>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</si>
  <si>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</si>
  <si>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</si>
  <si>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</si>
  <si>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</si>
  <si>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</si>
  <si>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</si>
  <si>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</si>
  <si>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</si>
  <si>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</si>
  <si>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</si>
  <si>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</si>
  <si>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</si>
  <si>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</si>
  <si>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</si>
  <si>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</si>
  <si>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</si>
  <si>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</si>
  <si>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</si>
  <si>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</si>
  <si>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</si>
  <si>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</si>
  <si>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</si>
  <si>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</si>
  <si>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</si>
  <si>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</si>
  <si>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</si>
  <si>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</si>
  <si>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</si>
  <si>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</si>
  <si>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</si>
  <si>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</si>
  <si>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</si>
  <si>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</si>
  <si>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</si>
  <si>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</si>
  <si>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</si>
  <si>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</si>
  <si>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</si>
  <si>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</si>
  <si>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</si>
  <si>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</si>
  <si>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</si>
  <si>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</si>
  <si>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</si>
  <si>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</si>
  <si>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</si>
  <si>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</si>
  <si>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</si>
  <si>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</si>
  <si>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</si>
  <si>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</si>
  <si>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</si>
  <si>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</si>
  <si>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</si>
  <si>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</si>
  <si>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</si>
  <si>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</si>
  <si>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</si>
  <si>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</si>
  <si>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</si>
  <si>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</si>
  <si>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</si>
  <si>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</si>
  <si>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</si>
  <si>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</si>
  <si>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</si>
  <si>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</si>
  <si>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</si>
  <si>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</si>
  <si>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</si>
  <si>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</si>
  <si>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</si>
  <si>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</si>
  <si>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</si>
  <si>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</si>
  <si>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</si>
  <si>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</si>
  <si>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</si>
  <si>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</si>
  <si>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</si>
  <si>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</si>
  <si>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</si>
  <si>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</si>
  <si>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</si>
  <si>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</si>
  <si>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</si>
  <si>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</si>
  <si>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</si>
  <si>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</si>
  <si>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</si>
  <si>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</si>
  <si>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</si>
  <si>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</si>
  <si>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</si>
  <si>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</si>
  <si>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</si>
  <si>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</si>
  <si>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</si>
  <si>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</si>
  <si>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</si>
  <si>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</si>
  <si>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</si>
  <si>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</si>
  <si>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</si>
  <si>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</si>
  <si>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</si>
  <si>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</si>
  <si>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</si>
  <si>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</si>
  <si>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</si>
  <si>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</si>
  <si>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</si>
  <si>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</si>
  <si>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</si>
  <si>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</si>
  <si>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</si>
  <si>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</si>
  <si>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</si>
  <si>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</si>
  <si>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</si>
  <si>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</si>
  <si>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</si>
  <si>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</si>
  <si>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</si>
  <si>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</si>
  <si>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</si>
  <si>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</si>
  <si>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</si>
  <si>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</si>
  <si>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</si>
  <si>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</si>
  <si>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</si>
  <si>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</si>
  <si>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</si>
  <si>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</si>
  <si>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</si>
  <si>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</si>
  <si>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</si>
  <si>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</si>
  <si>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</si>
  <si>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</si>
  <si>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</si>
  <si>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</si>
  <si>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</si>
  <si>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</si>
  <si>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</si>
  <si>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</si>
  <si>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</si>
  <si>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</si>
  <si>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</si>
  <si>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</si>
  <si>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</si>
  <si>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</si>
  <si>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</si>
  <si>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</si>
  <si>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</si>
  <si>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</si>
  <si>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</si>
  <si>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</si>
  <si>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</si>
  <si>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</si>
  <si>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</si>
  <si>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</si>
  <si>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</si>
  <si>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</si>
  <si>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</si>
  <si>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</si>
  <si>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</si>
  <si>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</si>
  <si>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</si>
  <si>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</si>
  <si>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</si>
  <si>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</si>
  <si>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</si>
  <si>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</si>
  <si>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</si>
  <si>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</si>
  <si>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</si>
  <si>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</si>
  <si>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</si>
  <si>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</si>
  <si>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</si>
  <si>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</si>
  <si>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</si>
  <si>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</si>
  <si>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</si>
  <si>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</si>
  <si>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</si>
  <si>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</si>
  <si>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</si>
  <si>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</si>
  <si>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</si>
  <si>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</si>
  <si>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</si>
  <si>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</si>
  <si>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</si>
  <si>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</si>
  <si>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</si>
  <si>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</si>
  <si>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</si>
  <si>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</si>
  <si>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</si>
  <si>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</si>
  <si>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</si>
  <si>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</si>
  <si>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</si>
  <si>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</si>
  <si>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</si>
  <si>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</si>
  <si>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</si>
  <si>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</si>
  <si>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</si>
  <si>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</si>
  <si>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</si>
  <si>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</si>
  <si>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</si>
  <si>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</si>
  <si>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</si>
  <si>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</si>
  <si>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</si>
  <si>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</si>
  <si>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</si>
  <si>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</si>
  <si>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</si>
  <si>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</si>
  <si>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</si>
  <si>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</si>
  <si>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</si>
  <si>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</si>
  <si>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</si>
  <si>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</si>
  <si>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</si>
  <si>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</si>
  <si>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</si>
  <si>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</si>
  <si>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</si>
  <si>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</si>
  <si>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</si>
  <si>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</si>
  <si>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</si>
  <si>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</si>
  <si>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</si>
  <si>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</si>
  <si>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</si>
  <si>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</si>
  <si>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</si>
  <si>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</si>
  <si>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</si>
  <si>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</si>
  <si>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</si>
  <si>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</si>
  <si>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</si>
  <si>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</si>
  <si>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</si>
  <si>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</si>
  <si>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</si>
  <si>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</si>
  <si>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</si>
  <si>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</si>
  <si>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</si>
  <si>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</si>
  <si>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</si>
  <si>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</si>
  <si>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</si>
  <si>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</si>
  <si>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</si>
  <si>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</si>
  <si>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</si>
  <si>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</si>
  <si>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</si>
  <si>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</si>
  <si>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</si>
  <si>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</si>
  <si>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</si>
  <si>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</si>
  <si>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</si>
  <si>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</si>
  <si>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</si>
  <si>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</si>
  <si>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</si>
  <si>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</si>
  <si>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</si>
  <si>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</si>
  <si>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</si>
  <si>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</si>
  <si>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</si>
  <si>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</si>
  <si>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</si>
  <si>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</si>
  <si>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</si>
  <si>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</si>
  <si>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</si>
  <si>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</si>
  <si>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</si>
  <si>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</si>
  <si>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</si>
  <si>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</si>
  <si>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</si>
  <si>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</si>
  <si>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</si>
  <si>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</si>
  <si>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</si>
  <si>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</si>
  <si>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</si>
  <si>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</si>
  <si>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</si>
  <si>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</si>
  <si>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</si>
  <si>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</si>
  <si>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</si>
  <si>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</si>
  <si>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</si>
  <si>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</si>
  <si>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</si>
  <si>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</si>
  <si>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</si>
  <si>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</si>
  <si>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</si>
  <si>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</si>
  <si>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</si>
  <si>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</si>
  <si>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</si>
  <si>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</si>
  <si>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</si>
  <si>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</si>
  <si>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</si>
  <si>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</si>
  <si>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</si>
  <si>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</si>
  <si>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</si>
  <si>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</si>
  <si>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</si>
  <si>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</si>
  <si>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</si>
  <si>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</si>
  <si>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</si>
  <si>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</si>
  <si>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</si>
  <si>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</si>
  <si>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</si>
  <si>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</si>
  <si>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</si>
  <si>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</si>
  <si>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</si>
  <si>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</si>
  <si>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</si>
  <si>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</si>
  <si>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</si>
  <si>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</si>
  <si>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</si>
  <si>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</si>
  <si>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</si>
  <si>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</si>
  <si>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</si>
  <si>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</si>
  <si>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</si>
  <si>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</si>
  <si>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</si>
  <si>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</si>
  <si>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</si>
  <si>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</si>
  <si>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</si>
  <si>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</si>
  <si>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</si>
  <si>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</si>
  <si>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</si>
  <si>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</si>
  <si>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</si>
  <si>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</si>
  <si>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</si>
  <si>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</si>
  <si>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</si>
  <si>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</si>
  <si>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</si>
  <si>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</si>
  <si>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</si>
  <si>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</si>
  <si>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</si>
  <si>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</si>
  <si>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</si>
  <si>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</si>
  <si>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</si>
  <si>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</si>
  <si>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</si>
  <si>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</si>
  <si>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</si>
  <si>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</si>
  <si>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</si>
  <si>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</si>
  <si>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</si>
  <si>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</si>
  <si>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</si>
  <si>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</si>
  <si>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</si>
  <si>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</si>
  <si>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</si>
  <si>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</si>
  <si>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</si>
  <si>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</si>
  <si>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</si>
  <si>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</si>
  <si>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</si>
  <si>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</si>
  <si>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</si>
  <si>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</si>
  <si>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</si>
  <si>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</si>
  <si>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</si>
  <si>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</si>
  <si>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</si>
  <si>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</si>
  <si>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</si>
  <si>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</si>
  <si>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</si>
  <si>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</si>
  <si>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</si>
  <si>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</si>
  <si>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</si>
  <si>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</si>
  <si>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</si>
  <si>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</si>
  <si>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</si>
  <si>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</si>
  <si>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</si>
  <si>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</si>
  <si>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</si>
  <si>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</si>
  <si>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</si>
  <si>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</si>
  <si>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</si>
  <si>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</si>
  <si>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</si>
  <si>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</si>
  <si>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</si>
  <si>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</si>
  <si>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</si>
  <si>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</si>
  <si>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</si>
  <si>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</si>
  <si>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</si>
  <si>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</si>
  <si>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</si>
  <si>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</si>
  <si>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</si>
  <si>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</si>
  <si>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</si>
  <si>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</si>
  <si>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</si>
  <si>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</si>
  <si>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</si>
  <si>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</si>
  <si>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</si>
  <si>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</si>
  <si>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</si>
  <si>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</si>
  <si>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</si>
  <si>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</si>
  <si>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</si>
  <si>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</si>
  <si>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</si>
  <si>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</si>
  <si>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</si>
  <si>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</si>
  <si>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</si>
  <si>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</si>
  <si>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</si>
  <si>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</si>
  <si>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</si>
  <si>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</si>
  <si>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</si>
  <si>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</si>
  <si>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</si>
  <si>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</si>
  <si>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</si>
  <si>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</si>
  <si>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</si>
  <si>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</si>
  <si>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</si>
  <si>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</si>
  <si>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</si>
  <si>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</si>
  <si>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</si>
  <si>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</si>
  <si>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</si>
  <si>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</si>
  <si>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</si>
  <si>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</si>
  <si>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</si>
  <si>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</si>
  <si>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</si>
  <si>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</si>
  <si>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</si>
  <si>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</si>
  <si>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</si>
  <si>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</si>
  <si>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</si>
  <si>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</si>
  <si>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</si>
  <si>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</si>
  <si>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</si>
  <si>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</si>
  <si>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</si>
  <si>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</si>
  <si>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</si>
  <si>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</si>
  <si>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</si>
  <si>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</si>
  <si>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</si>
  <si>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</si>
  <si>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</si>
  <si>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</si>
  <si>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</si>
  <si>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</si>
  <si>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</si>
  <si>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</si>
  <si>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</si>
  <si>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</si>
  <si>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</si>
  <si>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</si>
  <si>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</si>
  <si>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</si>
  <si>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</si>
  <si>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</si>
  <si>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</si>
  <si>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</si>
  <si>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</si>
  <si>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</si>
  <si>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</si>
  <si>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</si>
  <si>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</si>
  <si>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</si>
  <si>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</si>
  <si>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</si>
  <si>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</si>
  <si>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</si>
  <si>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</si>
  <si>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</si>
  <si>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</si>
  <si>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</si>
  <si>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</si>
  <si>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</si>
  <si>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</si>
  <si>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</si>
  <si>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</si>
  <si>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</si>
  <si>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</si>
  <si>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</si>
  <si>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</si>
  <si>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</si>
  <si>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</si>
  <si>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</si>
  <si>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</si>
  <si>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</si>
  <si>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</si>
  <si>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</si>
  <si>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</si>
  <si>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</si>
  <si>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</si>
  <si>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</si>
  <si>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</si>
  <si>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</si>
  <si>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</si>
  <si>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</si>
  <si>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</si>
  <si>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</si>
  <si>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</si>
  <si>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</si>
  <si>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</si>
  <si>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</si>
  <si>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</si>
  <si>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</si>
  <si>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</si>
  <si>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</si>
  <si>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</si>
  <si>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</si>
  <si>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</si>
  <si>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</si>
  <si>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</si>
  <si>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</si>
  <si>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</si>
  <si>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</si>
  <si>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</si>
  <si>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</si>
  <si>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</si>
  <si>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</si>
  <si>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</si>
  <si>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</si>
  <si>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</si>
  <si>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</si>
  <si>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</si>
  <si>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</si>
  <si>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</si>
  <si>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</si>
  <si>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</si>
  <si>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</si>
  <si>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</si>
  <si>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</si>
  <si>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</si>
  <si>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</si>
  <si>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</si>
  <si>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</si>
  <si>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</si>
  <si>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</si>
  <si>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</si>
  <si>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</si>
  <si>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</si>
  <si>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</si>
  <si>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</si>
  <si>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</si>
  <si>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</si>
  <si>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</si>
  <si>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</si>
  <si>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</si>
  <si>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</si>
  <si>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</si>
  <si>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</si>
  <si>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</si>
  <si>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</si>
  <si>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</si>
  <si>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</si>
  <si>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</si>
  <si>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</si>
  <si>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</si>
  <si>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</si>
  <si>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</si>
  <si>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</si>
  <si>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</si>
  <si>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</si>
  <si>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</si>
  <si>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</si>
  <si>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</si>
  <si>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</si>
  <si>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</si>
  <si>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</si>
  <si>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</si>
  <si>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</si>
  <si>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</si>
  <si>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</si>
  <si>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</si>
  <si>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</si>
  <si>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</si>
  <si>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</si>
  <si>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</si>
  <si>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</si>
  <si>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</si>
  <si>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</si>
  <si>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</si>
  <si>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</si>
  <si>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</si>
  <si>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</si>
  <si>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</si>
  <si>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</si>
  <si>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</si>
  <si>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</si>
  <si>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</si>
  <si>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</si>
  <si>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</si>
  <si>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</si>
  <si>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</si>
  <si>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</si>
  <si>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</si>
  <si>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</si>
  <si>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</si>
  <si>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</si>
  <si>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</si>
  <si>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</si>
  <si>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</si>
  <si>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</si>
  <si>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</si>
  <si>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</si>
  <si>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</si>
  <si>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</si>
  <si>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</si>
  <si>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</si>
  <si>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</si>
  <si>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</si>
  <si>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</si>
  <si>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</si>
  <si>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</si>
  <si>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</si>
  <si>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</si>
  <si>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</si>
  <si>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</si>
  <si>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</si>
  <si>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</si>
  <si>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</si>
  <si>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</si>
  <si>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</si>
  <si>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</si>
  <si>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</si>
  <si>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</si>
  <si>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</si>
  <si>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</si>
  <si>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</si>
  <si>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</si>
  <si>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</si>
  <si>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</si>
  <si>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</si>
  <si>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</si>
  <si>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</si>
  <si>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</si>
  <si>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</si>
  <si>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</si>
  <si>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</si>
  <si>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</si>
  <si>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</si>
  <si>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</si>
  <si>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</si>
  <si>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</si>
  <si>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</si>
  <si>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</si>
  <si>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</si>
  <si>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</si>
  <si>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</si>
  <si>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</si>
  <si>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</si>
  <si>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</si>
  <si>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</si>
  <si>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</si>
  <si>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</si>
  <si>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</si>
  <si>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</si>
  <si>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</si>
  <si>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</si>
  <si>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</si>
  <si>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</si>
  <si>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</si>
  <si>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</si>
  <si>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</si>
  <si>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</si>
  <si>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</si>
  <si>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</si>
  <si>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</si>
  <si>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</si>
  <si>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</si>
  <si>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</si>
  <si>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</si>
  <si>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</si>
  <si>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</si>
  <si>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</si>
  <si>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</si>
  <si>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</si>
  <si>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</si>
  <si>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</si>
  <si>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</si>
  <si>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</si>
  <si>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</si>
  <si>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</si>
  <si>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</si>
  <si>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</si>
  <si>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</si>
  <si>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</si>
  <si>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</si>
  <si>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</si>
  <si>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</si>
  <si>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</si>
  <si>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</si>
  <si>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</si>
  <si>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</si>
  <si>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</si>
  <si>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</si>
  <si>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</si>
  <si>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</si>
  <si>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</si>
  <si>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</si>
  <si>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</si>
  <si>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</si>
  <si>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</si>
  <si>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</si>
  <si>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</si>
  <si>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</si>
  <si>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</si>
  <si>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</si>
  <si>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</si>
  <si>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</si>
  <si>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</si>
  <si>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</si>
  <si>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</si>
  <si>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</si>
  <si>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</si>
  <si>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</si>
  <si>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</si>
  <si>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</si>
  <si>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</si>
  <si>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</si>
  <si>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</si>
  <si>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</si>
  <si>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</si>
  <si>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</si>
  <si>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</si>
  <si>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</si>
  <si>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</si>
  <si>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</si>
  <si>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</si>
  <si>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</si>
  <si>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</si>
  <si>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</si>
  <si>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</si>
  <si>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</si>
  <si>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</si>
  <si>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</si>
  <si>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</si>
  <si>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</si>
  <si>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</si>
  <si>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</si>
  <si>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</si>
  <si>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</si>
  <si>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</si>
  <si>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</si>
  <si>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</si>
  <si>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</si>
  <si>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</si>
  <si>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</si>
  <si>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</si>
  <si>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</si>
  <si>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</si>
  <si>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</si>
  <si>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</si>
  <si>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</si>
  <si>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</si>
  <si>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</si>
  <si>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</si>
  <si>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</si>
  <si>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</si>
  <si>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</si>
  <si>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</si>
  <si>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</si>
  <si>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</si>
  <si>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</si>
  <si>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</si>
  <si>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</si>
  <si>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</si>
  <si>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</si>
  <si>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</si>
  <si>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</si>
  <si>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</si>
  <si>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</si>
  <si>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</si>
  <si>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</si>
  <si>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</si>
  <si>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Unrestricted Capital Fund (from pages 4, lines 10-11 and 8, line 12)</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</si>
  <si>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</si>
  <si>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</si>
  <si>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</si>
  <si>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</si>
  <si>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</si>
  <si>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</si>
  <si>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</si>
  <si>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</si>
  <si>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</si>
  <si>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</si>
  <si>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</si>
  <si>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</si>
  <si>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</si>
  <si>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</si>
  <si>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</si>
  <si>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</si>
  <si>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</si>
  <si>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</si>
  <si>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</si>
  <si>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</si>
  <si>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</si>
  <si>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</si>
  <si>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</si>
  <si>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</si>
  <si>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</si>
  <si>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</si>
  <si>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</si>
  <si>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</si>
  <si>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</si>
  <si>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</si>
  <si>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</si>
  <si>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</si>
  <si>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</si>
  <si>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</si>
  <si>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</si>
  <si>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</si>
  <si>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</si>
  <si>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</si>
  <si>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</si>
  <si>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</si>
  <si>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</si>
  <si>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</si>
  <si>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</si>
  <si>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</si>
  <si>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</si>
  <si>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</si>
  <si>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</si>
  <si>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</si>
  <si>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</si>
  <si>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</si>
  <si>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</si>
  <si>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</si>
  <si>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</si>
  <si>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</si>
  <si>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</si>
  <si>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</si>
  <si>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</si>
  <si>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</si>
  <si>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</si>
  <si>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</si>
  <si>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</si>
  <si>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</si>
  <si>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</si>
  <si>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</si>
  <si>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</si>
  <si>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</si>
  <si>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</si>
  <si>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</si>
  <si>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</si>
  <si>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</si>
  <si>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</si>
  <si>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</si>
  <si>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</si>
  <si>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</si>
  <si>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</si>
  <si>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</si>
  <si>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</si>
  <si>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</si>
  <si>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</si>
  <si>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</si>
  <si>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</si>
  <si>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</si>
  <si>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</si>
  <si>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</si>
  <si>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</si>
  <si>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</si>
  <si>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</si>
  <si>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</si>
  <si>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</si>
  <si>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</si>
  <si>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</si>
  <si>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</si>
  <si>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</si>
  <si>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</si>
  <si>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</si>
  <si>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</si>
  <si>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</si>
  <si>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</si>
  <si>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</si>
  <si>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</si>
  <si>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</si>
  <si>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</si>
  <si>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</si>
  <si>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</si>
  <si>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</si>
  <si>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</si>
  <si>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</si>
  <si>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</si>
  <si>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</si>
  <si>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</si>
  <si>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</si>
  <si>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</si>
  <si>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</si>
  <si>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</si>
  <si>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</si>
  <si>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</si>
  <si>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</si>
  <si>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</si>
  <si>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</si>
  <si>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</si>
  <si>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</si>
  <si>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</si>
  <si>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</si>
  <si>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</si>
  <si>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 xml:space="preserve">Comments on average salary calculation (optional): </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</si>
  <si>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</si>
  <si>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</si>
  <si>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</si>
  <si>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</si>
  <si>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</si>
  <si>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</si>
  <si>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</si>
  <si>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</si>
  <si>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</si>
  <si>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</si>
  <si>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</si>
  <si>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</si>
  <si>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</si>
  <si>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</si>
  <si>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</si>
  <si>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</si>
  <si>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</si>
  <si>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</si>
  <si>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</si>
  <si>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</si>
  <si>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</si>
  <si>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</si>
  <si>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</si>
  <si>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</si>
  <si>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</si>
  <si>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</si>
  <si>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</si>
  <si>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</si>
  <si>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</si>
  <si>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</si>
  <si>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</si>
  <si>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</si>
  <si>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</si>
  <si>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</si>
  <si>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</si>
  <si>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</si>
  <si>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</si>
  <si>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</si>
  <si>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</si>
  <si>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</si>
  <si>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</si>
  <si>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</si>
  <si>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</si>
  <si>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</si>
  <si>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</si>
  <si>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</si>
  <si>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</si>
  <si>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</si>
  <si>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</si>
  <si>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</si>
  <si>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</si>
  <si>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</si>
  <si>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</si>
  <si>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</si>
  <si>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</si>
  <si>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</si>
  <si>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</si>
  <si>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</si>
  <si>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</si>
  <si>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</si>
  <si>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</si>
  <si>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</si>
  <si>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</si>
  <si>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</si>
  <si>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</si>
  <si>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</si>
  <si>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</si>
  <si>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</si>
  <si>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</si>
  <si>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</si>
  <si>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</si>
  <si>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</si>
  <si>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</si>
  <si>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</si>
  <si>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</si>
  <si>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</si>
  <si>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</si>
  <si>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</si>
  <si>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</si>
  <si>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</si>
  <si>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</si>
  <si>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</si>
  <si>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</si>
  <si>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</si>
  <si>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</si>
  <si>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</si>
  <si>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</si>
  <si>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</si>
  <si>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</si>
  <si>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</si>
  <si>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</si>
  <si>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</si>
  <si>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</si>
  <si>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</si>
  <si>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</si>
  <si>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</si>
  <si>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</si>
  <si>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</si>
  <si>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</si>
  <si>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</si>
  <si>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</si>
  <si>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</si>
  <si>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</si>
  <si>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</si>
  <si>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</si>
  <si>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</si>
  <si>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</si>
  <si>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</si>
  <si>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</si>
  <si>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</si>
  <si>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</si>
  <si>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</si>
  <si>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</si>
  <si>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</si>
  <si>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</si>
  <si>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</si>
  <si>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</si>
  <si>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</si>
  <si>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</si>
  <si>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</si>
  <si>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</si>
  <si>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</si>
  <si>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</si>
  <si>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</si>
  <si>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</si>
  <si>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</si>
  <si>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</si>
  <si>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</si>
  <si>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</si>
  <si>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</si>
  <si>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</si>
  <si>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</si>
  <si>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</si>
  <si>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</si>
  <si>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</si>
  <si>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</si>
  <si>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</si>
  <si>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</si>
  <si>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</si>
  <si>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</si>
  <si>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</si>
  <si>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</si>
  <si>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</si>
  <si>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</si>
  <si>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</si>
  <si>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</si>
  <si>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</si>
  <si>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</si>
  <si>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</si>
  <si>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</si>
  <si>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</si>
  <si>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</si>
  <si>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</si>
  <si>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</si>
  <si>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</si>
  <si>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</si>
  <si>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</si>
  <si>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</si>
  <si>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</si>
  <si>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</si>
  <si>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</si>
  <si>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</si>
  <si>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</si>
  <si>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</si>
  <si>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</si>
  <si>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</si>
  <si>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</si>
  <si>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</si>
  <si>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</si>
  <si>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</si>
  <si>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</si>
  <si>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</si>
  <si>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</si>
  <si>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</si>
  <si>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</si>
  <si>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</si>
  <si>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</si>
  <si>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</si>
  <si>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</si>
  <si>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</si>
  <si>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</si>
  <si>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</si>
  <si>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</si>
  <si>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</si>
  <si>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</si>
  <si>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</si>
  <si>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</si>
  <si>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</si>
  <si>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</si>
  <si>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</si>
  <si>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</si>
  <si>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</si>
  <si>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</si>
  <si>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</si>
  <si>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</si>
  <si>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</si>
  <si>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</si>
  <si>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</si>
  <si>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</si>
  <si>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</si>
  <si>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</si>
  <si>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</si>
  <si>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</si>
  <si>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</si>
  <si>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</si>
  <si>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</si>
  <si>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</si>
  <si>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</si>
  <si>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</si>
  <si>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</si>
  <si>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</si>
  <si>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</si>
  <si>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</si>
  <si>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</si>
  <si>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</si>
  <si>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</si>
  <si>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</si>
  <si>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</si>
  <si>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</si>
  <si>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</si>
  <si>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</si>
  <si>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</si>
  <si>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</si>
  <si>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</si>
  <si>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</si>
  <si>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</si>
  <si>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</si>
  <si>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</si>
  <si>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</si>
  <si>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</si>
  <si>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</si>
  <si>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</si>
  <si>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</si>
  <si>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</si>
  <si>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</si>
  <si>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</si>
  <si>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</si>
  <si>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</si>
  <si>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</si>
  <si>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</si>
  <si>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</si>
  <si>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</si>
  <si>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</si>
  <si>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</si>
  <si>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</si>
  <si>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</si>
  <si>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</si>
  <si>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</si>
  <si>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</si>
  <si>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</si>
  <si>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</si>
  <si>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</si>
  <si>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FY 2025 final ending fund balance</t>
  </si>
  <si>
    <t>If the final ending fund balance reported above does not agree with the submitted FY 2025 AFR, revise the AFR and resubmit to ADE.</t>
  </si>
  <si>
    <t>FY 2026 activity, year-to-date and estimated through June 30</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</si>
  <si>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</si>
  <si>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</si>
  <si>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</si>
  <si>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</si>
  <si>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</si>
  <si>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</si>
  <si>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</si>
  <si>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</si>
  <si>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</si>
  <si>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</si>
  <si>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</si>
  <si>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</si>
  <si>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</si>
  <si>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</si>
  <si>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</si>
  <si>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</si>
  <si>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</si>
  <si>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</si>
  <si>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</si>
  <si>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</si>
  <si>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</si>
  <si>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</si>
  <si>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</si>
  <si>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</si>
  <si>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</si>
  <si>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</si>
  <si>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</si>
  <si>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</si>
  <si>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</si>
  <si>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</si>
  <si>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</si>
  <si>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</si>
  <si>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</si>
  <si>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</si>
  <si>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</si>
  <si>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</si>
  <si>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</si>
  <si>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</si>
  <si>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</si>
  <si>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</si>
  <si>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</si>
  <si>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</si>
  <si>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</si>
  <si>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</si>
  <si>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</si>
  <si>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</si>
  <si>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</si>
  <si>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</si>
  <si>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</si>
  <si>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</si>
  <si>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</si>
  <si>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</si>
  <si>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</si>
  <si>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</si>
  <si>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</si>
  <si>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</si>
  <si>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</si>
  <si>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</si>
  <si>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</si>
  <si>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</si>
  <si>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</si>
  <si>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</si>
  <si>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</si>
  <si>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</si>
  <si>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Section A, line 2(c)</t>
  </si>
  <si>
    <t>FY 2026 revenues and other financing sources</t>
  </si>
  <si>
    <t>FY 2026 expenditures and other financing uses</t>
  </si>
  <si>
    <t xml:space="preserve">Nonspendable </t>
  </si>
  <si>
    <t>Restricted</t>
  </si>
  <si>
    <t>Committed</t>
  </si>
  <si>
    <t>Assigned</t>
  </si>
  <si>
    <t>Unassigned</t>
  </si>
  <si>
    <t>Total (amount must agree to line 3 above)</t>
  </si>
  <si>
    <t>Fund deficit</t>
  </si>
  <si>
    <t>Fund balance exceeding budget capacity in budget controlled funds</t>
  </si>
  <si>
    <t>Planned to be spent in FY 2027</t>
  </si>
  <si>
    <t>Maintained for spending after FY 2027</t>
  </si>
  <si>
    <t xml:space="preserve">(a) </t>
  </si>
  <si>
    <t>Total budget limit expenditures (lines 9-10)</t>
  </si>
  <si>
    <t xml:space="preserve">(c) </t>
  </si>
  <si>
    <t xml:space="preserve">(e) </t>
  </si>
  <si>
    <t xml:space="preserve">(f) </t>
  </si>
  <si>
    <t>Estimated FY 2026 fund balances and planned uses in FY 2027 and thereafter</t>
  </si>
  <si>
    <r>
      <rPr>
        <b/>
        <sz val="14"/>
        <rFont val="Times New Roman"/>
        <family val="1"/>
      </rPr>
      <t>Budget Revision</t>
    </r>
    <r>
      <rPr>
        <sz val="14"/>
        <rFont val="Times New Roman"/>
        <family val="1"/>
      </rPr>
      <t xml:space="preserve">
Report FY 2026 beginning fund balance adjustments. Only enter an amount on the line if the district needs to adjust the beginning fund balance for any adjustments identified in the district's FY 2025 ending balance. If an amount is zero, enter 0 on that line. </t>
    </r>
  </si>
  <si>
    <t>FY 2026 beginning fund balance adjustments:  ________________________________________</t>
  </si>
  <si>
    <t>Line 10.a</t>
  </si>
  <si>
    <t>https://www.azed.gov/finance/countyappor</t>
  </si>
  <si>
    <t>Line 10.b</t>
  </si>
  <si>
    <t>Line 10.c</t>
  </si>
  <si>
    <t>State aid supplement</t>
  </si>
  <si>
    <t>Onetime district additional assistance supplement</t>
  </si>
  <si>
    <t xml:space="preserve">Onetime FRPL group B weight supplement </t>
  </si>
  <si>
    <t>FY 2027 Classroom Site Fund budget limit (Sum of lines 14 through 17) (2)</t>
  </si>
  <si>
    <t>Federal projects other than Impact Aid (from budget, page 6, Federal Projects, minus 378 [lines 18 and 21])</t>
  </si>
  <si>
    <t>FY 2027 General Budget Limit (column A, lines 1 through 10)</t>
  </si>
  <si>
    <t xml:space="preserve">Total amount to be used for capital expenditures (column B, lines 1 through 10) </t>
  </si>
  <si>
    <t>Amount to be used for capital expenditures (from page 7, line 12)</t>
  </si>
  <si>
    <t>Maintenance and Operation Fund (from pages 1, lines 30-31 and 7, line 11)</t>
  </si>
  <si>
    <t>Added a line for districts to enter FY 2026 beginning fund balance adjustments, if any.</t>
  </si>
  <si>
    <t>Base level amount (A.R.S. §15-901, as amended by Laws 2026, Ch. 135, §2)</t>
  </si>
  <si>
    <t>State support level per route mile (A.R.S. §15-945, as amended by Laws 2026, Ch. 135, §3)</t>
  </si>
  <si>
    <t>Qualifying tax rate for elementary or secondary (CTEDs use 0.05) (A.R.S. §41-1276, as amended by Laws 2026, Ch. 135, §5)</t>
  </si>
  <si>
    <t>Estimated Allocation of Additional Funding (Laws 2026, Ch. 126, §31)</t>
  </si>
  <si>
    <t>Added a line for the FY 2027 State aid supplement provided by Laws 2026, Ch. 126, §31.</t>
  </si>
  <si>
    <t>Added a line for the FY 2027 onetime DAA supplement provided by Laws 2026, Ch. 126, §31.</t>
  </si>
  <si>
    <t>Added a line for the FY 2027 onetime FRPL Group B weight supplement provided by Laws 2026, Ch. 126, §31.</t>
  </si>
  <si>
    <t>https://www.azed.gov/finance/training-support-hub-budget-resources</t>
  </si>
  <si>
    <t>Districts should contact ADE’s School Finance team at the email address below for assistance in calculating this amount.</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</si>
  <si>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contact ADE’s School Finance team at the email address below for assistance in calculating this amount.</t>
    </r>
  </si>
  <si>
    <r>
      <t xml:space="preserve">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r>
  </si>
  <si>
    <r>
      <t xml:space="preserve">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t>
    </r>
    <r>
      <rPr>
        <b/>
        <sz val="14"/>
        <rFont val="Times New Roman"/>
        <family val="1"/>
      </rPr>
      <t>Budget Revision</t>
    </r>
    <r>
      <rPr>
        <sz val="14"/>
        <rFont val="Times New Roman"/>
        <family val="1"/>
      </rPr>
      <t xml:space="preserve">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r>
  </si>
  <si>
    <r>
      <t xml:space="preserve">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t>
    </r>
    <r>
      <rPr>
        <b/>
        <sz val="14"/>
        <rFont val="Times New Roman"/>
        <family val="1"/>
      </rPr>
      <t>Budget Revision</t>
    </r>
    <r>
      <rPr>
        <sz val="14"/>
        <rFont val="Times New Roman"/>
        <family val="1"/>
      </rPr>
      <t xml:space="preserve">
Districts should compare the amount on line 8(c) to the allowable amount on the FY 2025 BUDG75 Report to determine if revisions are necessary. The amounts on this line cannot exceed the amount reported on page 2 of the BUDG75 Report.</t>
    </r>
  </si>
  <si>
    <r>
      <t xml:space="preserve">Laws 2026, Ch. 126, §31 provides a total State aid supplement of $75,000,000 to school districts and charter schools on a pro rata basis.  Districts should increase their budget limits by estimating their portion by multiplying the district's percentage of statewide weighted student count, as reported on its most recent Classroom Site Fund Detail Report, by $75,000,000. However, actual amounts will vary and ADE will notify districts of the final amounts. District CSF Detail Reports can be accessed at the first link below.
</t>
    </r>
    <r>
      <rPr>
        <b/>
        <sz val="14"/>
        <color theme="1"/>
        <rFont val="Times New Roman"/>
        <family val="1"/>
      </rPr>
      <t>Budget Revision</t>
    </r>
    <r>
      <rPr>
        <sz val="14"/>
        <color theme="1"/>
        <rFont val="Times New Roman"/>
        <family val="1"/>
      </rPr>
      <t xml:space="preserve">
Districts should compare actual funding received or expected to be received for the fiscal year to the amount reported on this line. The amount on this line cannot exceed the actual amount received for additional funding. Actual total State aid supplement amounts can be accessed at the second link below.</t>
    </r>
  </si>
  <si>
    <r>
      <t xml:space="preserve">This line should be left blank for budget adoption.
</t>
    </r>
    <r>
      <rPr>
        <b/>
        <sz val="14"/>
        <rFont val="Times New Roman"/>
        <family val="1"/>
      </rPr>
      <t>Budget Revision</t>
    </r>
    <r>
      <rPr>
        <sz val="14"/>
        <rFont val="Times New Roman"/>
        <family val="1"/>
      </rPr>
      <t xml:space="preserve">
Laws 2026, Ch. 126, §31, provides a total onetime district additional assistance (DAA) supplement of $23,142,000. ADE will allocate and distribute the supplement on a proportional basis based on the DAA funding that each district in this State receives in FY 2027. ADE will calculate the supplement amount for each district and notify them when complete. Districts should revise their budget after notification. 
A district may budget the monies it receives from the onetime DAA supplement in either the M&amp;O Fund or UCO Fund on Page 7, line 10.b.</t>
    </r>
  </si>
  <si>
    <r>
      <t xml:space="preserve">This line should be left blank for budget adoption.
</t>
    </r>
    <r>
      <rPr>
        <b/>
        <sz val="14"/>
        <color theme="1"/>
        <rFont val="Times New Roman"/>
        <family val="1"/>
      </rPr>
      <t>Budget Revision</t>
    </r>
    <r>
      <rPr>
        <sz val="14"/>
        <color theme="1"/>
        <rFont val="Times New Roman"/>
        <family val="1"/>
      </rPr>
      <t xml:space="preserve">
Laws 2026, Ch. 126, §31, provides a total onetime free or reduced-price lunch (FRPL) Group B weight supplement of $37,000,000. ADE will allocate and distribute the supplement on a pro rata basis using the weighted student count for FRPL students for the district pursuant to A.R.S. §15-943(2)(b). ADE will calculate the supplement amount for each district and notify them when complete. Districts should revise their budget after notification. 
A district may budget the monies it receives from the onetime FRPL supplement to either the M&amp;O Fund or UCO Fund on Page 7, line 10.c.</t>
    </r>
  </si>
  <si>
    <t>Mary C O'Brien Accommodation District</t>
  </si>
  <si>
    <t>Pinal</t>
  </si>
  <si>
    <t>110100000</t>
  </si>
  <si>
    <t>Proposed</t>
  </si>
  <si>
    <t>Ector Rodriguez</t>
  </si>
  <si>
    <t>Sherree Ramirez</t>
  </si>
  <si>
    <t>520-450-4478</t>
  </si>
  <si>
    <t>sramirez@pinalk12.org</t>
  </si>
  <si>
    <t>N/A</t>
  </si>
  <si>
    <t>Other __Employee Withholdings_________________</t>
  </si>
  <si>
    <t>https://www.pinalk12.org/vnews/display.v/ART/636c183e2f297?in_archive=1</t>
  </si>
  <si>
    <t>Mary C O'Brien Accomodation</t>
  </si>
  <si>
    <t>520.450.4478</t>
  </si>
  <si>
    <t>June 30, 2026</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</si>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</sst>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2">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
      <patternFill patternType="solid">
        <fgColor theme="0" tint="-0.1498764000366222"/>
        <bgColor indexed="64"/>
      </patternFill>
    </fill>
  </fills>
  <borders count="108">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auto="1"/>
      </top>
      <bottom style="medium">
        <color indexed="8"/>
      </bottom>
      <diagonal/>
    </border>
    <border>
      <left/>
      <right style="thin">
        <color indexed="8"/>
      </right>
      <top style="thin">
        <color auto="1"/>
      </top>
      <bottom style="medium">
        <color indexed="8"/>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28">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9" fillId="0" borderId="7" xfId="2" applyNumberFormat="1" applyFont="1" applyBorder="1" applyProtection="1">
      <protection locked="0"/>
    </xf>
    <xf numFmtId="42" fontId="9" fillId="0" borderId="10" xfId="2" applyNumberFormat="1" applyFont="1" applyBorder="1" applyProtection="1">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4"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5"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6" xfId="0" applyNumberFormat="1" applyFont="1" applyBorder="1" applyAlignment="1">
      <alignment horizontal="right"/>
    </xf>
    <xf numFmtId="37" fontId="13" fillId="0" borderId="84" xfId="0" applyNumberFormat="1" applyFont="1" applyBorder="1" applyAlignment="1">
      <alignment horizontal="right"/>
    </xf>
    <xf numFmtId="0" fontId="42" fillId="0" borderId="9" xfId="0" applyFont="1" applyBorder="1" applyAlignment="1">
      <alignment horizontal="center" vertical="center" wrapText="1"/>
    </xf>
    <xf numFmtId="37" fontId="7" fillId="0" borderId="87"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89"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0" xfId="0" applyNumberFormat="1" applyFont="1" applyBorder="1" applyAlignment="1">
      <alignment horizontal="right"/>
    </xf>
    <xf numFmtId="37" fontId="13" fillId="0" borderId="91"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2"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3"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4"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5"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3"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6" xfId="11" applyNumberFormat="1" applyFont="1" applyBorder="1" applyAlignment="1">
      <alignment horizontal="right"/>
    </xf>
    <xf numFmtId="49" fontId="39" fillId="5" borderId="87"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7"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37" fontId="63" fillId="2" borderId="0" xfId="13" applyNumberFormat="1" applyFont="1" applyAlignment="1">
      <alignment horizontal="left"/>
    </xf>
    <xf numFmtId="37" fontId="63" fillId="2" borderId="0" xfId="13" applyNumberFormat="1" applyFont="1"/>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5"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8"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8"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4" fillId="0" borderId="24" xfId="0" applyNumberFormat="1" applyFont="1" applyBorder="1"/>
    <xf numFmtId="37" fontId="9" fillId="0" borderId="32" xfId="0" applyNumberFormat="1" applyFont="1" applyBorder="1"/>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177" fontId="38" fillId="5" borderId="0" xfId="8" quotePrefix="1" applyNumberFormat="1" applyFont="1" applyFill="1" applyProtection="1"/>
    <xf numFmtId="177" fontId="12" fillId="5" borderId="0" xfId="8" applyNumberFormat="1" applyFont="1" applyFill="1" applyProtection="1"/>
    <xf numFmtId="177" fontId="10" fillId="0" borderId="0" xfId="12" quotePrefix="1" applyFont="1" applyFill="1"/>
    <xf numFmtId="177" fontId="5" fillId="0" borderId="0" xfId="12" quotePrefix="1" applyFont="1" applyFill="1" applyAlignment="1">
      <alignment horizontal="center"/>
    </xf>
    <xf numFmtId="0" fontId="123" fillId="0" borderId="105" xfId="8" applyFont="1" applyBorder="1" applyAlignment="1">
      <alignment horizontal="center" vertical="top"/>
      <protection locked="0"/>
    </xf>
    <xf numFmtId="0" fontId="40" fillId="0" borderId="105" xfId="0" applyFont="1" applyBorder="1" applyAlignment="1">
      <alignment horizontal="center" vertical="top" wrapText="1"/>
    </xf>
    <xf numFmtId="0" fontId="106" fillId="9" borderId="105" xfId="8" applyFont="1" applyFill="1" applyBorder="1" applyAlignment="1" applyProtection="1">
      <alignment horizontal="justify" vertical="top" wrapText="1"/>
    </xf>
    <xf numFmtId="0" fontId="40" fillId="18" borderId="105" xfId="0" applyFont="1" applyFill="1" applyBorder="1" applyAlignment="1">
      <alignment horizontal="center" vertical="center" wrapText="1"/>
    </xf>
    <xf numFmtId="0" fontId="106" fillId="9" borderId="105" xfId="0" applyFont="1" applyFill="1" applyBorder="1" applyAlignment="1">
      <alignment vertical="top" wrapText="1"/>
    </xf>
    <xf numFmtId="0" fontId="42" fillId="0" borderId="105" xfId="8" applyFont="1" applyFill="1" applyBorder="1" applyAlignment="1" applyProtection="1">
      <alignment horizontal="justify" vertical="top" wrapText="1"/>
    </xf>
    <xf numFmtId="0" fontId="40" fillId="0" borderId="105" xfId="0" applyFont="1" applyBorder="1" applyAlignment="1">
      <alignment horizontal="center" vertical="center" wrapText="1"/>
    </xf>
    <xf numFmtId="0" fontId="106" fillId="0" borderId="105" xfId="0" applyFont="1" applyBorder="1" applyAlignment="1">
      <alignment vertical="top" wrapText="1"/>
    </xf>
    <xf numFmtId="0" fontId="42" fillId="0" borderId="105" xfId="8" applyFont="1" applyBorder="1" applyAlignment="1" applyProtection="1">
      <alignment horizontal="justify" vertical="top" wrapText="1"/>
    </xf>
    <xf numFmtId="49" fontId="9" fillId="0" borderId="0" xfId="8" quotePrefix="1" applyNumberFormat="1" applyFont="1" applyAlignment="1" applyProtection="1">
      <alignment horizontal="right" vertical="top"/>
    </xf>
    <xf numFmtId="0" fontId="9" fillId="9" borderId="0" xfId="13" applyFont="1" applyFill="1" applyAlignment="1">
      <alignment horizontal="left" vertical="top"/>
    </xf>
    <xf numFmtId="0" fontId="9" fillId="9" borderId="0" xfId="21" applyFont="1" applyFill="1" applyAlignment="1">
      <alignment horizontal="left" vertical="top"/>
    </xf>
    <xf numFmtId="37" fontId="13" fillId="0" borderId="0" xfId="13" quotePrefix="1" applyNumberFormat="1" applyFont="1" applyFill="1" applyProtection="1">
      <protection locked="0"/>
    </xf>
    <xf numFmtId="37" fontId="9" fillId="2" borderId="4" xfId="13" applyNumberFormat="1" applyFont="1" applyBorder="1" applyAlignment="1" applyProtection="1">
      <alignment horizontal="right"/>
      <protection locked="0"/>
    </xf>
    <xf numFmtId="0" fontId="9" fillId="9" borderId="0" xfId="21" applyFont="1" applyFill="1" applyAlignment="1">
      <alignment vertical="top"/>
    </xf>
    <xf numFmtId="49" fontId="9" fillId="0" borderId="0" xfId="13" quotePrefix="1" applyNumberFormat="1" applyFont="1" applyFill="1" applyAlignment="1">
      <alignment horizontal="right"/>
    </xf>
    <xf numFmtId="1" fontId="9" fillId="2" borderId="0" xfId="13" quotePrefix="1" applyNumberFormat="1" applyFont="1" applyAlignment="1">
      <alignment horizontal="right"/>
    </xf>
    <xf numFmtId="1" fontId="9" fillId="0" borderId="0" xfId="13" quotePrefix="1" applyNumberFormat="1" applyFont="1" applyFill="1" applyAlignment="1">
      <alignment horizontal="right"/>
    </xf>
    <xf numFmtId="177" fontId="5" fillId="9" borderId="0" xfId="12" applyFont="1" applyFill="1"/>
    <xf numFmtId="0" fontId="40" fillId="9" borderId="7" xfId="0" applyFont="1" applyFill="1" applyBorder="1" applyAlignment="1">
      <alignment vertical="top" wrapText="1"/>
    </xf>
    <xf numFmtId="0" fontId="40" fillId="9" borderId="105" xfId="0" applyFont="1" applyFill="1" applyBorder="1" applyAlignment="1">
      <alignment vertical="top" wrapText="1"/>
    </xf>
    <xf numFmtId="37" fontId="5" fillId="0" borderId="105" xfId="22" applyNumberFormat="1" applyFont="1" applyBorder="1" applyAlignment="1">
      <alignment horizontal="right"/>
    </xf>
    <xf numFmtId="37" fontId="5" fillId="0" borderId="105" xfId="12" applyNumberFormat="1" applyFont="1" applyFill="1" applyBorder="1"/>
    <xf numFmtId="37" fontId="5" fillId="0" borderId="105" xfId="12" applyNumberFormat="1" applyFont="1" applyFill="1" applyBorder="1" applyProtection="1">
      <protection locked="0"/>
    </xf>
    <xf numFmtId="37" fontId="5" fillId="21" borderId="105" xfId="22" applyNumberFormat="1" applyFont="1" applyFill="1" applyBorder="1" applyAlignment="1">
      <alignment horizontal="right"/>
    </xf>
    <xf numFmtId="177" fontId="5" fillId="21" borderId="105" xfId="12" applyFont="1" applyFill="1" applyBorder="1"/>
    <xf numFmtId="0" fontId="40" fillId="9" borderId="105" xfId="8" applyFont="1" applyFill="1" applyBorder="1" applyAlignment="1" applyProtection="1">
      <alignment horizontal="justify" vertical="top" wrapText="1"/>
    </xf>
    <xf numFmtId="0" fontId="9" fillId="0" borderId="10" xfId="0" applyFont="1" applyBorder="1" applyProtection="1">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176" fontId="9" fillId="0" borderId="37"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45" xfId="0" applyFont="1" applyBorder="1" applyAlignment="1" applyProtection="1">
      <alignment horizontal="center"/>
      <protection locked="0"/>
    </xf>
    <xf numFmtId="0" fontId="9" fillId="0" borderId="0" xfId="0" applyFont="1" applyAlignment="1">
      <alignment horizontal="center"/>
    </xf>
    <xf numFmtId="0" fontId="9" fillId="0" borderId="2" xfId="0" applyFont="1" applyBorder="1" applyAlignment="1">
      <alignment horizontal="center"/>
    </xf>
    <xf numFmtId="0" fontId="9" fillId="0" borderId="4" xfId="0" quotePrefix="1"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9" fillId="0" borderId="4" xfId="0" applyFont="1" applyBorder="1" applyProtection="1">
      <protection locked="0"/>
    </xf>
    <xf numFmtId="0" fontId="9" fillId="0" borderId="37" xfId="0" applyFont="1" applyBorder="1" applyProtection="1">
      <protection locked="0"/>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1" xfId="0" applyFont="1" applyBorder="1" applyAlignment="1">
      <alignment horizontal="center"/>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0" xfId="0" applyFont="1" applyAlignment="1">
      <alignment horizontal="left"/>
    </xf>
    <xf numFmtId="0" fontId="9" fillId="0" borderId="97" xfId="0" applyFont="1" applyBorder="1" applyAlignment="1">
      <alignment horizontal="center" vertical="center"/>
    </xf>
    <xf numFmtId="0" fontId="62" fillId="0" borderId="0" xfId="0" applyFont="1" applyAlignment="1">
      <alignment horizontal="center" wrapText="1"/>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176" fontId="9" fillId="0" borderId="45" xfId="0" applyNumberFormat="1" applyFont="1" applyBorder="1" applyAlignment="1" applyProtection="1">
      <alignment horizontal="center"/>
      <protection locked="0"/>
    </xf>
    <xf numFmtId="0" fontId="5" fillId="0" borderId="4" xfId="0" applyFont="1" applyBorder="1" applyAlignment="1">
      <alignment horizontal="center"/>
    </xf>
    <xf numFmtId="0" fontId="2" fillId="0" borderId="4" xfId="0" applyFont="1" applyBorder="1" applyAlignment="1">
      <alignment horizontal="center"/>
    </xf>
    <xf numFmtId="0" fontId="5" fillId="0" borderId="4" xfId="0" applyFont="1" applyBorder="1" applyAlignment="1">
      <alignment horizontal="left"/>
    </xf>
    <xf numFmtId="0" fontId="2" fillId="0" borderId="4" xfId="0" applyFont="1" applyBorder="1"/>
    <xf numFmtId="0" fontId="11" fillId="0" borderId="0" xfId="0" applyFont="1" applyAlignment="1">
      <alignment horizontal="right" vertical="top" wrapText="1"/>
    </xf>
    <xf numFmtId="0" fontId="9" fillId="0" borderId="98"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0" fillId="0" borderId="4" xfId="0" applyBorder="1"/>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37" fontId="9" fillId="0" borderId="0" xfId="0" applyNumberFormat="1" applyFont="1"/>
    <xf numFmtId="0" fontId="9" fillId="0" borderId="29" xfId="0" applyFont="1" applyBorder="1" applyAlignment="1">
      <alignment horizontal="left" wrapText="1"/>
    </xf>
    <xf numFmtId="0" fontId="9" fillId="0" borderId="0" xfId="0" applyFont="1" applyBorder="1" applyAlignment="1">
      <alignment horizontal="left" wrapText="1"/>
    </xf>
    <xf numFmtId="0" fontId="82" fillId="0" borderId="0" xfId="0" applyFont="1" applyAlignment="1">
      <alignment horizontal="left"/>
    </xf>
    <xf numFmtId="0" fontId="9" fillId="0" borderId="0" xfId="0" applyFont="1" applyAlignment="1">
      <alignment horizontal="left" vertical="top" wrapText="1"/>
    </xf>
    <xf numFmtId="0" fontId="9" fillId="0" borderId="92"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2" xfId="8" applyFont="1" applyFill="1" applyBorder="1" applyAlignment="1" applyProtection="1">
      <alignment horizontal="center"/>
    </xf>
    <xf numFmtId="0" fontId="45" fillId="5" borderId="87"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177" fontId="16" fillId="2" borderId="5" xfId="11" applyNumberFormat="1" applyFont="1" applyFill="1" applyBorder="1" applyAlignment="1">
      <alignment horizontal="center"/>
    </xf>
    <xf numFmtId="37" fontId="9" fillId="0" borderId="0" xfId="0" applyNumberFormat="1" applyFont="1" applyAlignment="1">
      <alignment horizontal="right"/>
    </xf>
    <xf numFmtId="3" fontId="9" fillId="0" borderId="0" xfId="11" applyNumberFormat="1" applyFont="1" applyAlignment="1">
      <alignment horizontal="right"/>
    </xf>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65" fontId="9" fillId="0" borderId="0" xfId="0" applyNumberFormat="1" applyFont="1" applyAlignment="1">
      <alignment horizontal="right"/>
    </xf>
    <xf numFmtId="3" fontId="9" fillId="0" borderId="0" xfId="0" applyNumberFormat="1" applyFont="1"/>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 fontId="13" fillId="0" borderId="22" xfId="0" applyNumberFormat="1" applyFont="1" applyBorder="1" applyAlignment="1" applyProtection="1">
      <alignment horizontal="right"/>
      <protection locked="0"/>
    </xf>
    <xf numFmtId="4" fontId="13" fillId="0" borderId="19" xfId="0" applyNumberFormat="1" applyFont="1" applyBorder="1" applyAlignment="1" applyProtection="1">
      <alignment horizontal="right"/>
      <protection locked="0"/>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99" xfId="0" applyNumberFormat="1" applyFont="1" applyBorder="1" applyAlignment="1">
      <alignment horizontal="right"/>
    </xf>
    <xf numFmtId="4" fontId="13" fillId="0" borderId="100" xfId="0" applyNumberFormat="1" applyFont="1" applyBorder="1" applyAlignment="1">
      <alignment horizontal="right"/>
    </xf>
    <xf numFmtId="4" fontId="13" fillId="0" borderId="106" xfId="0" applyNumberFormat="1" applyFont="1" applyBorder="1" applyAlignment="1" applyProtection="1">
      <alignment horizontal="right"/>
      <protection locked="0"/>
    </xf>
    <xf numFmtId="4" fontId="13" fillId="0" borderId="107" xfId="0" applyNumberFormat="1" applyFont="1" applyBorder="1" applyAlignment="1" applyProtection="1">
      <alignment horizontal="right"/>
      <protection locked="0"/>
    </xf>
    <xf numFmtId="4" fontId="13" fillId="0" borderId="9" xfId="0" applyNumberFormat="1" applyFont="1" applyBorder="1" applyAlignment="1" applyProtection="1">
      <alignment horizontal="right"/>
      <protection locked="0"/>
    </xf>
    <xf numFmtId="4" fontId="13" fillId="0" borderId="92" xfId="0" applyNumberFormat="1" applyFont="1" applyBorder="1" applyAlignment="1" applyProtection="1">
      <alignment horizontal="right"/>
      <protection locked="0"/>
    </xf>
    <xf numFmtId="4" fontId="13" fillId="0" borderId="87" xfId="0" applyNumberFormat="1" applyFont="1" applyBorder="1" applyAlignment="1" applyProtection="1">
      <alignment horizontal="right"/>
      <protection locked="0"/>
    </xf>
    <xf numFmtId="4" fontId="13" fillId="0" borderId="101" xfId="0" applyNumberFormat="1" applyFont="1" applyBorder="1" applyAlignment="1">
      <alignment horizontal="right"/>
    </xf>
    <xf numFmtId="4" fontId="13" fillId="0" borderId="102" xfId="0" applyNumberFormat="1" applyFont="1" applyBorder="1" applyAlignment="1">
      <alignment horizontal="right"/>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37" fontId="63" fillId="0" borderId="0" xfId="13" applyNumberFormat="1" applyFont="1" applyFill="1" applyAlignment="1">
      <alignment horizontal="left" vertical="top" wrapText="1"/>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10" xfId="21" applyFont="1" applyFill="1" applyBorder="1" applyAlignment="1" applyProtection="1">
      <alignment horizontal="left" vertical="top"/>
      <protection locked="0"/>
    </xf>
    <xf numFmtId="0" fontId="9" fillId="0" borderId="0" xfId="13" applyFont="1" applyFill="1" applyAlignment="1">
      <alignment horizontal="left" vertical="top" wrapText="1"/>
    </xf>
    <xf numFmtId="0" fontId="13" fillId="0" borderId="0" xfId="13" applyFont="1" applyFill="1" applyAlignment="1">
      <alignment horizontal="left" vertical="top" wrapText="1"/>
    </xf>
    <xf numFmtId="37" fontId="13" fillId="2" borderId="4" xfId="13" applyNumberFormat="1" applyFont="1" applyBorder="1" applyAlignment="1">
      <alignment horizontal="left"/>
    </xf>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37" fontId="115" fillId="5" borderId="0" xfId="8" applyNumberFormat="1" applyFont="1" applyFill="1" applyAlignment="1" applyProtection="1">
      <alignment horizontal="center" vertical="center"/>
    </xf>
    <xf numFmtId="0" fontId="5" fillId="0" borderId="0" xfId="13" applyFont="1" applyFill="1" applyAlignment="1">
      <alignment horizontal="left"/>
    </xf>
    <xf numFmtId="0" fontId="5" fillId="0" borderId="10" xfId="13" applyFont="1" applyFill="1" applyBorder="1" applyAlignment="1" applyProtection="1">
      <alignment horizontal="left"/>
      <protection locked="0"/>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0" borderId="0" xfId="0" applyAlignment="1">
      <alignment wrapText="1"/>
    </xf>
    <xf numFmtId="0" fontId="67" fillId="0" borderId="0" xfId="0" applyFont="1" applyAlignment="1">
      <alignment horizontal="center"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0" fillId="0" borderId="10" xfId="0"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8"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0" fontId="46" fillId="0" borderId="0" xfId="8" applyFont="1" applyAlignment="1" applyProtection="1">
      <alignment horizontal="left" vertical="top" wrapText="1"/>
    </xf>
    <xf numFmtId="177" fontId="102" fillId="0" borderId="9" xfId="12" applyFont="1" applyFill="1" applyBorder="1" applyAlignment="1">
      <alignment horizontal="center" wrapText="1"/>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3" xfId="12" applyFont="1" applyFill="1" applyBorder="1" applyAlignment="1">
      <alignment horizontal="center" wrapText="1"/>
    </xf>
    <xf numFmtId="177" fontId="102" fillId="0" borderId="104"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0" fontId="11" fillId="0" borderId="10" xfId="0" applyFont="1" applyBorder="1" applyAlignment="1">
      <alignment horizontal="left"/>
    </xf>
    <xf numFmtId="0" fontId="9" fillId="0" borderId="61" xfId="0" applyFont="1" applyBorder="1" applyAlignment="1">
      <alignment horizontal="left"/>
    </xf>
    <xf numFmtId="0" fontId="8" fillId="0" borderId="0" xfId="0" applyFont="1" applyAlignment="1">
      <alignment horizontal="center"/>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9" fillId="0" borderId="22" xfId="0" applyFont="1" applyBorder="1" applyAlignment="1">
      <alignment horizontal="center"/>
    </xf>
    <xf numFmtId="0" fontId="9" fillId="0" borderId="7" xfId="0" applyFont="1" applyBorder="1" applyAlignment="1">
      <alignment horizontal="center"/>
    </xf>
    <xf numFmtId="0" fontId="9" fillId="0" borderId="19" xfId="0" applyFont="1" applyBorder="1" applyAlignment="1">
      <alignment horizontal="center"/>
    </xf>
    <xf numFmtId="0" fontId="11" fillId="0" borderId="0" xfId="0" applyFont="1" applyAlignment="1">
      <alignment horizontal="left"/>
    </xf>
    <xf numFmtId="0" fontId="11" fillId="0" borderId="0" xfId="0" applyFont="1" applyAlignment="1">
      <alignment horizontal="left" wrapText="1"/>
    </xf>
    <xf numFmtId="0" fontId="52" fillId="0" borderId="0" xfId="0" applyFont="1" applyAlignment="1">
      <alignment horizontal="left" wrapText="1"/>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52" fillId="0" borderId="0" xfId="0" applyFont="1" applyAlignment="1">
      <alignment horizontal="left" vertical="top" wrapText="1"/>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52" fillId="0" borderId="0" xfId="0" applyFont="1" applyAlignment="1">
      <alignment horizontal="left"/>
    </xf>
    <xf numFmtId="0" fontId="77" fillId="0" borderId="0" xfId="0" applyFont="1" applyAlignment="1">
      <alignment horizontal="center" vertical="top"/>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34">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ont>
        <b/>
        <i val="0"/>
        <color rgb="FFFF0000"/>
        <name val="Cambria"/>
        <family val="1"/>
      </font>
    </dxf>
    <dxf>
      <fill>
        <patternFill>
          <bgColor rgb="FFFFC000"/>
        </patternFill>
      </fill>
    </dxf>
    <dxf>
      <font>
        <color rgb="FFFF0000"/>
      </font>
    </dxf>
    <dxf>
      <font>
        <color rgb="FFFF0000"/>
      </font>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zauditor.sharepoint.com/sites/ASDonline/School%20District%20Budget/FY%202027%20Budget%20Forms/Final%20Forms/2026EXPBUD.xlsx" TargetMode="External"/><Relationship Id="rId1" Type="http://schemas.openxmlformats.org/officeDocument/2006/relationships/externalLinkPath" Target="file:///C:\Users\Tonyata\Downloads\2026EXPBU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zauditor.sharepoint.com/sites/ASDonline/School%20District%20Budget/FY%202027%20Budget%20Forms/Final%20Forms/2027DESEGBUD.xlsm" TargetMode="External"/><Relationship Id="rId1" Type="http://schemas.openxmlformats.org/officeDocument/2006/relationships/externalLinkPath" Target="file:///C:\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0BudgFY" refersTo="='Page 6'!$T$9"/>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v>26.15</v>
          </cell>
          <cell r="L8">
            <v>2651763</v>
          </cell>
        </row>
        <row r="10">
          <cell r="E10">
            <v>6</v>
          </cell>
          <cell r="L10">
            <v>416703</v>
          </cell>
        </row>
        <row r="11">
          <cell r="E11">
            <v>0</v>
          </cell>
          <cell r="L11">
            <v>67000</v>
          </cell>
        </row>
        <row r="12">
          <cell r="E12">
            <v>2</v>
          </cell>
          <cell r="L12">
            <v>247603</v>
          </cell>
        </row>
        <row r="13">
          <cell r="E13">
            <v>4</v>
          </cell>
          <cell r="L13">
            <v>303685</v>
          </cell>
        </row>
        <row r="14">
          <cell r="E14">
            <v>4</v>
          </cell>
          <cell r="L14">
            <v>413516</v>
          </cell>
        </row>
        <row r="15">
          <cell r="E15">
            <v>9</v>
          </cell>
          <cell r="L15">
            <v>1358494</v>
          </cell>
        </row>
        <row r="16">
          <cell r="E16">
            <v>0</v>
          </cell>
          <cell r="L16">
            <v>0</v>
          </cell>
        </row>
        <row r="17">
          <cell r="E17">
            <v>2.5</v>
          </cell>
          <cell r="L17">
            <v>192357</v>
          </cell>
        </row>
        <row r="18">
          <cell r="E18">
            <v>0</v>
          </cell>
          <cell r="L18">
            <v>0</v>
          </cell>
        </row>
        <row r="19">
          <cell r="E19">
            <v>0</v>
          </cell>
          <cell r="L19">
            <v>0</v>
          </cell>
        </row>
        <row r="20">
          <cell r="E20">
            <v>0</v>
          </cell>
          <cell r="L20">
            <v>0</v>
          </cell>
        </row>
        <row r="21">
          <cell r="E21">
            <v>0</v>
          </cell>
          <cell r="L21">
            <v>0</v>
          </cell>
        </row>
        <row r="24">
          <cell r="E24">
            <v>3.5</v>
          </cell>
          <cell r="L24">
            <v>276908</v>
          </cell>
        </row>
        <row r="26">
          <cell r="E26">
            <v>2</v>
          </cell>
          <cell r="L26">
            <v>280961</v>
          </cell>
        </row>
        <row r="27">
          <cell r="E27">
            <v>0</v>
          </cell>
          <cell r="L27">
            <v>51987</v>
          </cell>
        </row>
        <row r="28">
          <cell r="E28">
            <v>0</v>
          </cell>
          <cell r="L28">
            <v>0</v>
          </cell>
        </row>
        <row r="29">
          <cell r="E29">
            <v>0</v>
          </cell>
          <cell r="L29">
            <v>0</v>
          </cell>
        </row>
        <row r="30">
          <cell r="E30">
            <v>0</v>
          </cell>
          <cell r="L30">
            <v>0</v>
          </cell>
        </row>
        <row r="31">
          <cell r="E31">
            <v>0</v>
          </cell>
          <cell r="L31">
            <v>0</v>
          </cell>
        </row>
        <row r="32">
          <cell r="E32">
            <v>0</v>
          </cell>
          <cell r="L32">
            <v>0</v>
          </cell>
        </row>
        <row r="33">
          <cell r="E33">
            <v>0</v>
          </cell>
          <cell r="L33">
            <v>0</v>
          </cell>
        </row>
        <row r="35">
          <cell r="E35">
            <v>14</v>
          </cell>
          <cell r="L35">
            <v>642746</v>
          </cell>
        </row>
        <row r="38">
          <cell r="E38">
            <v>0</v>
          </cell>
          <cell r="L38">
            <v>0</v>
          </cell>
        </row>
        <row r="40">
          <cell r="E40">
            <v>0</v>
          </cell>
          <cell r="L40">
            <v>0</v>
          </cell>
        </row>
        <row r="41">
          <cell r="E41">
            <v>0.25</v>
          </cell>
          <cell r="L41">
            <v>13065</v>
          </cell>
        </row>
        <row r="43">
          <cell r="L43">
            <v>679893</v>
          </cell>
        </row>
        <row r="44">
          <cell r="L44">
            <v>7596681</v>
          </cell>
        </row>
      </sheetData>
      <sheetData sheetId="2">
        <row r="7">
          <cell r="G7">
            <v>609856</v>
          </cell>
        </row>
        <row r="8">
          <cell r="G8">
            <v>0</v>
          </cell>
        </row>
        <row r="9">
          <cell r="G9">
            <v>0</v>
          </cell>
        </row>
        <row r="10">
          <cell r="G10">
            <v>0</v>
          </cell>
        </row>
        <row r="11">
          <cell r="G11">
            <v>0</v>
          </cell>
        </row>
        <row r="12">
          <cell r="G12">
            <v>0</v>
          </cell>
        </row>
        <row r="13">
          <cell r="G13">
            <v>0</v>
          </cell>
        </row>
        <row r="14">
          <cell r="G14">
            <v>0</v>
          </cell>
        </row>
        <row r="19">
          <cell r="G19">
            <v>0</v>
          </cell>
        </row>
      </sheetData>
      <sheetData sheetId="3">
        <row r="6">
          <cell r="K6">
            <v>440357</v>
          </cell>
        </row>
        <row r="7">
          <cell r="K7">
            <v>0</v>
          </cell>
        </row>
        <row r="8">
          <cell r="K8">
            <v>0</v>
          </cell>
        </row>
        <row r="9">
          <cell r="K9">
            <v>0</v>
          </cell>
        </row>
        <row r="10">
          <cell r="K10">
            <v>0</v>
          </cell>
        </row>
        <row r="11">
          <cell r="K11">
            <v>0</v>
          </cell>
        </row>
        <row r="12">
          <cell r="K12">
            <v>0</v>
          </cell>
        </row>
        <row r="13">
          <cell r="K13">
            <v>0</v>
          </cell>
        </row>
        <row r="15">
          <cell r="K15">
            <v>207047</v>
          </cell>
        </row>
        <row r="39">
          <cell r="D39">
            <v>647404</v>
          </cell>
        </row>
      </sheetData>
      <sheetData sheetId="4">
        <row r="8">
          <cell r="L8">
            <v>0</v>
          </cell>
        </row>
        <row r="10">
          <cell r="L10">
            <v>255000</v>
          </cell>
        </row>
        <row r="12">
          <cell r="L12">
            <v>122000</v>
          </cell>
        </row>
        <row r="13">
          <cell r="L13">
            <v>90000</v>
          </cell>
        </row>
        <row r="14">
          <cell r="L14">
            <v>75000</v>
          </cell>
        </row>
        <row r="15">
          <cell r="L15">
            <v>255000</v>
          </cell>
        </row>
        <row r="16">
          <cell r="L16">
            <v>100000</v>
          </cell>
        </row>
        <row r="17">
          <cell r="L17">
            <v>100000</v>
          </cell>
        </row>
        <row r="18">
          <cell r="L18">
            <v>0</v>
          </cell>
        </row>
        <row r="20">
          <cell r="L20">
            <v>757195</v>
          </cell>
        </row>
        <row r="21">
          <cell r="L21">
            <v>1754195</v>
          </cell>
        </row>
      </sheetData>
      <sheetData sheetId="5">
        <row r="8">
          <cell r="G8"/>
          <cell r="I8"/>
          <cell r="K8"/>
        </row>
        <row r="10">
          <cell r="E10"/>
          <cell r="G10"/>
          <cell r="I10"/>
          <cell r="K10"/>
        </row>
        <row r="11">
          <cell r="E11"/>
          <cell r="G11"/>
          <cell r="I11"/>
          <cell r="K11"/>
        </row>
        <row r="12">
          <cell r="E12"/>
          <cell r="G12"/>
          <cell r="I12"/>
          <cell r="K12"/>
        </row>
        <row r="13">
          <cell r="E13">
            <v>45000</v>
          </cell>
          <cell r="G13"/>
          <cell r="I13"/>
          <cell r="K13"/>
        </row>
        <row r="14">
          <cell r="E14"/>
          <cell r="G14"/>
          <cell r="I14"/>
          <cell r="K14"/>
        </row>
        <row r="15">
          <cell r="E15"/>
          <cell r="G15"/>
          <cell r="I15"/>
          <cell r="K15"/>
        </row>
        <row r="16">
          <cell r="E16">
            <v>700000</v>
          </cell>
          <cell r="G16"/>
          <cell r="I16"/>
          <cell r="K16"/>
        </row>
        <row r="17">
          <cell r="E17">
            <v>100000</v>
          </cell>
          <cell r="G17"/>
          <cell r="I17"/>
          <cell r="K17"/>
        </row>
        <row r="18">
          <cell r="E18">
            <v>45000</v>
          </cell>
          <cell r="G18"/>
          <cell r="I18"/>
          <cell r="K18"/>
        </row>
        <row r="19">
          <cell r="E19"/>
          <cell r="G19"/>
          <cell r="I19"/>
          <cell r="K19"/>
        </row>
        <row r="20">
          <cell r="E20"/>
          <cell r="G20"/>
          <cell r="I20"/>
          <cell r="K20"/>
        </row>
        <row r="23">
          <cell r="E23"/>
          <cell r="G23"/>
          <cell r="K23"/>
        </row>
        <row r="24">
          <cell r="E24"/>
          <cell r="G24"/>
          <cell r="I24"/>
          <cell r="K24"/>
        </row>
        <row r="25">
          <cell r="E25">
            <v>890000</v>
          </cell>
          <cell r="G25"/>
          <cell r="I25"/>
          <cell r="K25"/>
        </row>
      </sheetData>
      <sheetData sheetId="6">
        <row r="5">
          <cell r="T5"/>
        </row>
        <row r="7">
          <cell r="G7">
            <v>1</v>
          </cell>
          <cell r="J7">
            <v>104334</v>
          </cell>
        </row>
        <row r="8">
          <cell r="G8">
            <v>0</v>
          </cell>
          <cell r="J8">
            <v>0</v>
          </cell>
          <cell r="T8"/>
        </row>
        <row r="9">
          <cell r="G9">
            <v>0</v>
          </cell>
          <cell r="J9">
            <v>0</v>
          </cell>
          <cell r="T9">
            <v>115000</v>
          </cell>
        </row>
        <row r="10">
          <cell r="G10">
            <v>0</v>
          </cell>
          <cell r="J10">
            <v>0</v>
          </cell>
          <cell r="T10">
            <v>35000</v>
          </cell>
        </row>
        <row r="11">
          <cell r="G11">
            <v>0</v>
          </cell>
          <cell r="J11">
            <v>0</v>
          </cell>
          <cell r="T11">
            <v>230000</v>
          </cell>
        </row>
        <row r="12">
          <cell r="G12">
            <v>0</v>
          </cell>
          <cell r="J12">
            <v>0</v>
          </cell>
          <cell r="T12">
            <v>0</v>
          </cell>
        </row>
        <row r="13">
          <cell r="G13">
            <v>0</v>
          </cell>
          <cell r="J13">
            <v>0</v>
          </cell>
          <cell r="T13">
            <v>5000</v>
          </cell>
        </row>
        <row r="14">
          <cell r="G14">
            <v>1</v>
          </cell>
          <cell r="J14">
            <v>59589</v>
          </cell>
          <cell r="T14">
            <v>60000</v>
          </cell>
        </row>
        <row r="15">
          <cell r="G15">
            <v>0</v>
          </cell>
          <cell r="J15">
            <v>0</v>
          </cell>
          <cell r="T15">
            <v>0</v>
          </cell>
        </row>
        <row r="16">
          <cell r="G16">
            <v>0</v>
          </cell>
          <cell r="J16">
            <v>0</v>
          </cell>
          <cell r="T16">
            <v>0</v>
          </cell>
        </row>
        <row r="17">
          <cell r="G17">
            <v>0</v>
          </cell>
          <cell r="J17">
            <v>0</v>
          </cell>
          <cell r="T17">
            <v>0</v>
          </cell>
        </row>
        <row r="18">
          <cell r="G18">
            <v>0</v>
          </cell>
          <cell r="J18">
            <v>0</v>
          </cell>
          <cell r="T18">
            <v>1000</v>
          </cell>
        </row>
        <row r="19">
          <cell r="G19">
            <v>0</v>
          </cell>
          <cell r="J19">
            <v>0</v>
          </cell>
          <cell r="T19">
            <v>50</v>
          </cell>
        </row>
        <row r="20">
          <cell r="G20">
            <v>0</v>
          </cell>
          <cell r="J20">
            <v>0</v>
          </cell>
          <cell r="T20">
            <v>9864</v>
          </cell>
        </row>
        <row r="21">
          <cell r="G21">
            <v>0</v>
          </cell>
          <cell r="J21">
            <v>0</v>
          </cell>
          <cell r="T21">
            <v>60000</v>
          </cell>
        </row>
        <row r="22">
          <cell r="G22">
            <v>0</v>
          </cell>
          <cell r="J22">
            <v>0</v>
          </cell>
          <cell r="T22">
            <v>0</v>
          </cell>
        </row>
        <row r="23">
          <cell r="G23">
            <v>0</v>
          </cell>
          <cell r="J23">
            <v>0</v>
          </cell>
          <cell r="T23">
            <v>140000</v>
          </cell>
        </row>
        <row r="24">
          <cell r="G24">
            <v>0</v>
          </cell>
          <cell r="J24">
            <v>0</v>
          </cell>
          <cell r="T24">
            <v>2260</v>
          </cell>
        </row>
        <row r="25">
          <cell r="G25">
            <v>0</v>
          </cell>
          <cell r="J25">
            <v>0</v>
          </cell>
          <cell r="T25">
            <v>0</v>
          </cell>
        </row>
        <row r="26">
          <cell r="G26">
            <v>0</v>
          </cell>
          <cell r="J26">
            <v>0</v>
          </cell>
          <cell r="T26">
            <v>0</v>
          </cell>
        </row>
        <row r="27">
          <cell r="T27">
            <v>0</v>
          </cell>
        </row>
        <row r="28">
          <cell r="T28">
            <v>0</v>
          </cell>
        </row>
        <row r="29">
          <cell r="G29">
            <v>0</v>
          </cell>
          <cell r="J29">
            <v>0</v>
          </cell>
          <cell r="T29">
            <v>0</v>
          </cell>
        </row>
        <row r="30">
          <cell r="G30">
            <v>0</v>
          </cell>
          <cell r="J30">
            <v>0</v>
          </cell>
          <cell r="T30">
            <v>0</v>
          </cell>
        </row>
        <row r="31">
          <cell r="G31">
            <v>0</v>
          </cell>
          <cell r="J31">
            <v>0</v>
          </cell>
          <cell r="T31">
            <v>0</v>
          </cell>
        </row>
        <row r="32">
          <cell r="G32">
            <v>0</v>
          </cell>
          <cell r="J32">
            <v>0</v>
          </cell>
          <cell r="T32">
            <v>1250</v>
          </cell>
        </row>
        <row r="33">
          <cell r="G33">
            <v>0</v>
          </cell>
          <cell r="J33">
            <v>0</v>
          </cell>
          <cell r="T33">
            <v>0</v>
          </cell>
        </row>
        <row r="34">
          <cell r="G34">
            <v>0</v>
          </cell>
          <cell r="J34">
            <v>0</v>
          </cell>
          <cell r="T34">
            <v>0</v>
          </cell>
        </row>
        <row r="35">
          <cell r="G35">
            <v>0</v>
          </cell>
          <cell r="J35">
            <v>0</v>
          </cell>
          <cell r="T35">
            <v>0</v>
          </cell>
        </row>
        <row r="36">
          <cell r="G36">
            <v>0</v>
          </cell>
          <cell r="J36">
            <v>0</v>
          </cell>
          <cell r="T36">
            <v>0</v>
          </cell>
        </row>
        <row r="37">
          <cell r="G37">
            <v>0</v>
          </cell>
          <cell r="J37">
            <v>0</v>
          </cell>
          <cell r="T37">
            <v>28000</v>
          </cell>
        </row>
        <row r="38">
          <cell r="G38">
            <v>0</v>
          </cell>
          <cell r="J38">
            <v>0</v>
          </cell>
          <cell r="T38">
            <v>3000000</v>
          </cell>
        </row>
        <row r="40">
          <cell r="T40">
            <v>0</v>
          </cell>
        </row>
        <row r="41">
          <cell r="T41">
            <v>55000</v>
          </cell>
        </row>
        <row r="42">
          <cell r="T42">
            <v>0</v>
          </cell>
        </row>
        <row r="43">
          <cell r="J43">
            <v>20000</v>
          </cell>
          <cell r="T43">
            <v>0</v>
          </cell>
        </row>
        <row r="44">
          <cell r="J44">
            <v>0</v>
          </cell>
        </row>
        <row r="45">
          <cell r="J45">
            <v>0</v>
          </cell>
        </row>
        <row r="46">
          <cell r="J46">
            <v>36000</v>
          </cell>
        </row>
      </sheetData>
      <sheetData sheetId="7">
        <row r="21">
          <cell r="J21"/>
        </row>
        <row r="34">
          <cell r="J34"/>
        </row>
        <row r="36">
          <cell r="J36"/>
        </row>
        <row r="39">
          <cell r="J39"/>
        </row>
        <row r="41">
          <cell r="J41">
            <v>0</v>
          </cell>
        </row>
        <row r="58">
          <cell r="J58">
            <v>7596681</v>
          </cell>
        </row>
      </sheetData>
      <sheetData sheetId="8">
        <row r="32">
          <cell r="K32">
            <v>1754195</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2413763</v>
          </cell>
          <cell r="F33">
            <v>238000</v>
          </cell>
        </row>
        <row r="35">
          <cell r="D35">
            <v>375203</v>
          </cell>
          <cell r="F35">
            <v>41500</v>
          </cell>
        </row>
        <row r="36">
          <cell r="D36">
            <v>1000</v>
          </cell>
          <cell r="F36">
            <v>66000</v>
          </cell>
        </row>
        <row r="37">
          <cell r="D37">
            <v>779304</v>
          </cell>
          <cell r="F37">
            <v>185500</v>
          </cell>
        </row>
        <row r="38">
          <cell r="D38">
            <v>505494</v>
          </cell>
          <cell r="F38">
            <v>853000</v>
          </cell>
        </row>
        <row r="39">
          <cell r="D39">
            <v>0</v>
          </cell>
          <cell r="F39">
            <v>0</v>
          </cell>
        </row>
        <row r="40">
          <cell r="D40">
            <v>173857</v>
          </cell>
          <cell r="F40">
            <v>18500</v>
          </cell>
        </row>
        <row r="41">
          <cell r="D41">
            <v>0</v>
          </cell>
          <cell r="F41">
            <v>0</v>
          </cell>
        </row>
        <row r="42">
          <cell r="D42">
            <v>0</v>
          </cell>
          <cell r="F42">
            <v>0</v>
          </cell>
        </row>
        <row r="43">
          <cell r="D43">
            <v>0</v>
          </cell>
          <cell r="F43">
            <v>0</v>
          </cell>
        </row>
        <row r="46">
          <cell r="D46">
            <v>266408</v>
          </cell>
          <cell r="F46">
            <v>10500</v>
          </cell>
        </row>
        <row r="48">
          <cell r="D48">
            <v>188461</v>
          </cell>
          <cell r="F48">
            <v>92500</v>
          </cell>
        </row>
        <row r="49">
          <cell r="D49">
            <v>0</v>
          </cell>
          <cell r="F49">
            <v>51987</v>
          </cell>
        </row>
        <row r="50">
          <cell r="D50">
            <v>0</v>
          </cell>
          <cell r="F50">
            <v>0</v>
          </cell>
        </row>
        <row r="51">
          <cell r="D51">
            <v>0</v>
          </cell>
          <cell r="F51">
            <v>0</v>
          </cell>
        </row>
        <row r="52">
          <cell r="D52">
            <v>0</v>
          </cell>
          <cell r="F52">
            <v>0</v>
          </cell>
        </row>
        <row r="53">
          <cell r="D53">
            <v>0</v>
          </cell>
          <cell r="F53">
            <v>0</v>
          </cell>
        </row>
        <row r="55">
          <cell r="D55">
            <v>573166</v>
          </cell>
          <cell r="F55">
            <v>69580</v>
          </cell>
        </row>
        <row r="56">
          <cell r="D56">
            <v>0</v>
          </cell>
          <cell r="F56">
            <v>0</v>
          </cell>
        </row>
        <row r="57">
          <cell r="D57">
            <v>0</v>
          </cell>
          <cell r="F57">
            <v>0</v>
          </cell>
        </row>
        <row r="59">
          <cell r="D59">
            <v>0</v>
          </cell>
          <cell r="F59">
            <v>0</v>
          </cell>
        </row>
        <row r="60">
          <cell r="D60">
            <v>13065</v>
          </cell>
          <cell r="F60">
            <v>0</v>
          </cell>
        </row>
      </sheetData>
      <sheetData sheetId="11">
        <row r="32">
          <cell r="E32">
            <v>0</v>
          </cell>
        </row>
      </sheetData>
      <sheetData sheetId="12">
        <row r="7">
          <cell r="I7">
            <v>4097085</v>
          </cell>
        </row>
        <row r="11">
          <cell r="I11">
            <v>0</v>
          </cell>
        </row>
        <row r="12">
          <cell r="I12">
            <v>0</v>
          </cell>
        </row>
        <row r="13">
          <cell r="I13">
            <v>0</v>
          </cell>
        </row>
        <row r="14">
          <cell r="I14">
            <v>4097085</v>
          </cell>
        </row>
        <row r="26">
          <cell r="I26">
            <v>0</v>
          </cell>
        </row>
      </sheetData>
      <sheetData sheetId="13"/>
      <sheetData sheetId="14"/>
      <sheetData sheetId="15"/>
      <sheetData sheetId="16">
        <row r="93">
          <cell r="E93">
            <v>410486.75</v>
          </cell>
        </row>
        <row r="105">
          <cell r="E105">
            <v>580485.54</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trictwide"/>
      <sheetName val="Template"/>
      <sheetName val="Instructions"/>
      <sheetName val="2027DESEGBUD"/>
      <sheetName val="Template Edition Information"/>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file:///C:\Users\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file:///C:\Users\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file:///C:\Users\AppData\Local\Microsoft\Windows\INetCache\Content.Outlook\Users\cvotroubek\AppData\Local\Microsoft\Windows\INetCache\ryoung2\AppData\Local\Microsoft\Windows\INetCache\Content.Outlook\Prohibited%20formula%20characters\Files%20from%20ADE%203-27-23\TruthinTaxl6" TargetMode="External"/><Relationship Id="rId5" Type="http://schemas.openxmlformats.org/officeDocument/2006/relationships/customProperty" Target="../customProperty13.bin"/><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file:///C:\Users\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file:///C:\Users\AppData\Local\Microsoft\Windows\INetCache\Content.Outlook\Users\cvotroubek\AppData\Local\Microsoft\Windows\INetCache\ryoung2\AppData\Local\Microsoft\Windows\INetCache\Content.Outlook\Prohibited%20formula%20characters\Files%20from%20ADE%203-27-23\WkshtK2LIG" TargetMode="External"/><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mailto:SFAnalystTeam@azed.gov" TargetMode="External"/><Relationship Id="rId21" Type="http://schemas.openxmlformats.org/officeDocument/2006/relationships/hyperlink" Target="mailto:SFPaymentTeam@azed.gov" TargetMode="External"/><Relationship Id="rId7" Type="http://schemas.openxmlformats.org/officeDocument/2006/relationships/hyperlink" Target="mailto:SFPaymentTeam@azed.gov" TargetMode="External"/><Relationship Id="rId12" Type="http://schemas.openxmlformats.org/officeDocument/2006/relationships/hyperlink" Target="mailto:SFBudgetTeam@azed.gov" TargetMode="External"/><Relationship Id="rId17" Type="http://schemas.openxmlformats.org/officeDocument/2006/relationships/hyperlink" Target="https://www.azed.gov/finance/countyappor" TargetMode="External"/><Relationship Id="rId2" Type="http://schemas.openxmlformats.org/officeDocument/2006/relationships/hyperlink" Target="http://www.azed.gov/mowr/" TargetMode="External"/><Relationship Id="rId16" Type="http://schemas.openxmlformats.org/officeDocument/2006/relationships/hyperlink" Target="https://schoolfinancereports.azed.gov/" TargetMode="External"/><Relationship Id="rId20" Type="http://schemas.openxmlformats.org/officeDocument/2006/relationships/hyperlink" Target="mailto:SFPaymentTeam@azed.gov" TargetMode="External"/><Relationship Id="rId1" Type="http://schemas.openxmlformats.org/officeDocument/2006/relationships/hyperlink" Target="mailto:SFPaymentTeam@azed.gov" TargetMode="External"/><Relationship Id="rId6" Type="http://schemas.openxmlformats.org/officeDocument/2006/relationships/hyperlink" Target="mailto:SFBudgetTeam@azed.gov" TargetMode="External"/><Relationship Id="rId11" Type="http://schemas.openxmlformats.org/officeDocument/2006/relationships/hyperlink" Target="mailto:SFBudgetTeam@azed.gov" TargetMode="External"/><Relationship Id="rId5" Type="http://schemas.openxmlformats.org/officeDocument/2006/relationships/hyperlink" Target="http://www.azed.gov/mowr/" TargetMode="External"/><Relationship Id="rId15" Type="http://schemas.openxmlformats.org/officeDocument/2006/relationships/hyperlink" Target="https://schoolfinancereports.azed.gov/" TargetMode="External"/><Relationship Id="rId23" Type="http://schemas.openxmlformats.org/officeDocument/2006/relationships/customProperty" Target="../customProperty18.bin"/><Relationship Id="rId10" Type="http://schemas.openxmlformats.org/officeDocument/2006/relationships/hyperlink" Target="mailto:SFBudgetTeam@azed.gov" TargetMode="External"/><Relationship Id="rId19" Type="http://schemas.openxmlformats.org/officeDocument/2006/relationships/hyperlink" Target="https://www.azed.gov/finance/training-support-hub-budget-resources" TargetMode="External"/><Relationship Id="rId4" Type="http://schemas.openxmlformats.org/officeDocument/2006/relationships/hyperlink" Target="https://schoolfinancereports.azed.gov/" TargetMode="External"/><Relationship Id="rId9" Type="http://schemas.openxmlformats.org/officeDocument/2006/relationships/hyperlink" Target="mailto:SFBudgetTeam@azed.gov" TargetMode="External"/><Relationship Id="rId14" Type="http://schemas.openxmlformats.org/officeDocument/2006/relationships/hyperlink" Target="mailto:SFBudgetTeam@azed.gov" TargetMode="External"/><Relationship Id="rId22"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zoomScaleNormal="100" workbookViewId="0">
      <selection activeCell="C8" sqref="C8:G8"/>
    </sheetView>
  </sheetViews>
  <sheetFormatPr defaultColWidth="12.81640625" defaultRowHeight="15.6"/>
  <cols>
    <col min="1" max="1" width="4.81640625" style="97" customWidth="1"/>
    <col min="2" max="2" width="14" style="97" customWidth="1"/>
    <col min="3" max="3" width="9" style="97" customWidth="1"/>
    <col min="4" max="4" width="12.81640625" style="97" customWidth="1"/>
    <col min="5" max="5" width="10" style="97" customWidth="1"/>
    <col min="6" max="6" width="9" style="97" customWidth="1"/>
    <col min="7" max="7" width="9.81640625" style="97" customWidth="1"/>
    <col min="8" max="8" width="10.81640625" style="97" customWidth="1"/>
    <col min="9" max="10" width="2.453125" style="97" customWidth="1"/>
    <col min="11" max="11" width="2.81640625" style="97" customWidth="1"/>
    <col min="12" max="12" width="13.54296875" style="97" customWidth="1"/>
    <col min="13" max="13" width="9.81640625" style="97" customWidth="1"/>
    <col min="14" max="14" width="12.81640625" style="97" customWidth="1"/>
    <col min="15" max="15" width="8.81640625" style="97" customWidth="1"/>
    <col min="16" max="16" width="2.81640625" style="97" customWidth="1"/>
    <col min="17" max="17" width="12.81640625" style="97" customWidth="1"/>
    <col min="18" max="18" width="2.81640625" style="97" customWidth="1"/>
    <col min="19" max="19" width="12.81640625" style="97" customWidth="1"/>
    <col min="20" max="20" width="2.81640625" style="97" customWidth="1"/>
    <col min="21" max="21" width="12.81640625" style="97" customWidth="1"/>
    <col min="22" max="22" width="2.54296875" style="97" customWidth="1"/>
    <col min="23" max="23" width="13" style="97" customWidth="1"/>
    <col min="24" max="29" width="12.81640625" style="97" customWidth="1"/>
    <col min="30" max="16384" width="12.81640625" style="97"/>
  </cols>
  <sheetData>
    <row r="1" spans="1:19">
      <c r="A1" s="96"/>
      <c r="B1" s="1262" t="s">
        <v>0</v>
      </c>
      <c r="C1" s="1585" t="s">
        <v>1418</v>
      </c>
      <c r="D1" s="1586"/>
      <c r="E1" s="1586"/>
      <c r="F1" s="1586"/>
      <c r="G1" s="1262" t="s">
        <v>1</v>
      </c>
      <c r="H1" s="1585" t="s">
        <v>1419</v>
      </c>
      <c r="I1" s="1585"/>
      <c r="J1" s="1585"/>
      <c r="K1" s="1585"/>
      <c r="L1" s="96"/>
      <c r="M1" s="1590" t="s">
        <v>682</v>
      </c>
      <c r="N1" s="1590"/>
      <c r="R1" s="1262" t="s">
        <v>2</v>
      </c>
      <c r="S1" s="25" t="s">
        <v>1420</v>
      </c>
    </row>
    <row r="2" spans="1:19" ht="5.25" customHeight="1">
      <c r="A2" s="96"/>
      <c r="B2" s="96"/>
      <c r="C2" s="96"/>
      <c r="D2" s="96"/>
      <c r="E2" s="96"/>
      <c r="F2" s="96"/>
      <c r="G2" s="96"/>
      <c r="H2" s="96"/>
      <c r="I2" s="99"/>
      <c r="J2" s="96"/>
      <c r="K2" s="99"/>
      <c r="L2" s="96"/>
      <c r="M2" s="96"/>
      <c r="N2" s="96"/>
      <c r="O2" s="96"/>
      <c r="P2" s="96"/>
      <c r="Q2" s="96"/>
      <c r="R2" s="100"/>
    </row>
    <row r="3" spans="1:19">
      <c r="A3" s="96"/>
      <c r="B3" s="96"/>
      <c r="C3" s="96"/>
      <c r="D3" s="1263" t="s">
        <v>3</v>
      </c>
      <c r="E3" s="1">
        <v>2027</v>
      </c>
      <c r="F3" s="96"/>
      <c r="G3" s="96"/>
      <c r="H3" s="96"/>
      <c r="I3" s="96"/>
      <c r="K3" s="1308" t="s">
        <v>4</v>
      </c>
      <c r="L3" s="4"/>
      <c r="M3" s="4"/>
      <c r="N3" s="4"/>
      <c r="O3" s="4"/>
      <c r="P3" s="4"/>
      <c r="Q3" s="4"/>
      <c r="R3" s="4"/>
      <c r="S3" s="4"/>
    </row>
    <row r="4" spans="1:19">
      <c r="A4" s="1560" t="s">
        <v>5</v>
      </c>
      <c r="B4" s="1560"/>
      <c r="C4" s="1560"/>
      <c r="D4" s="1560"/>
      <c r="E4" s="1560"/>
      <c r="F4" s="1560"/>
      <c r="G4" s="1560"/>
      <c r="H4" s="1560"/>
      <c r="I4" s="1561"/>
      <c r="J4" s="101"/>
      <c r="K4" s="1263" t="s">
        <v>6</v>
      </c>
      <c r="L4" s="96" t="s">
        <v>1344</v>
      </c>
      <c r="M4" s="4"/>
      <c r="N4" s="4"/>
      <c r="O4" s="1556">
        <v>8050000</v>
      </c>
      <c r="P4" s="1556"/>
      <c r="Q4" s="4"/>
      <c r="R4" s="4"/>
      <c r="S4" s="96"/>
    </row>
    <row r="5" spans="1:19">
      <c r="A5" s="1560" t="s">
        <v>7</v>
      </c>
      <c r="B5" s="1560"/>
      <c r="C5" s="1560"/>
      <c r="D5" s="1560"/>
      <c r="E5" s="1560"/>
      <c r="F5" s="1560"/>
      <c r="G5" s="1560"/>
      <c r="H5" s="1560"/>
      <c r="I5" s="1561"/>
      <c r="J5" s="101"/>
      <c r="K5" s="1263" t="s">
        <v>8</v>
      </c>
      <c r="L5" s="96" t="s">
        <v>1345</v>
      </c>
      <c r="M5" s="96"/>
      <c r="N5" s="96"/>
      <c r="O5" s="96"/>
      <c r="P5" s="96"/>
      <c r="Q5" s="96"/>
      <c r="R5" s="96"/>
      <c r="S5" s="96"/>
    </row>
    <row r="6" spans="1:19" ht="15.75" customHeight="1">
      <c r="A6" s="1560" t="s">
        <v>9</v>
      </c>
      <c r="B6" s="1560"/>
      <c r="C6" s="1560"/>
      <c r="D6" s="1560"/>
      <c r="E6" s="1560"/>
      <c r="F6" s="1560"/>
      <c r="G6" s="1560"/>
      <c r="H6" s="1560"/>
      <c r="I6" s="1561"/>
      <c r="J6" s="101"/>
      <c r="K6" s="1263"/>
      <c r="L6" s="96" t="s">
        <v>10</v>
      </c>
      <c r="M6" s="1263" t="s">
        <v>11</v>
      </c>
      <c r="N6" s="15">
        <v>1200000</v>
      </c>
      <c r="O6" s="1558"/>
      <c r="P6" s="1558"/>
      <c r="Q6" s="1558"/>
      <c r="R6" s="1558"/>
      <c r="S6" s="1558"/>
    </row>
    <row r="7" spans="1:19" ht="17.25" customHeight="1">
      <c r="A7" s="96"/>
      <c r="B7" s="96"/>
      <c r="C7" s="96"/>
      <c r="D7" s="96"/>
      <c r="E7" s="96"/>
      <c r="F7" s="96"/>
      <c r="G7" s="96"/>
      <c r="I7" s="96"/>
      <c r="J7" s="101"/>
      <c r="K7" s="1263"/>
      <c r="L7" s="96" t="s">
        <v>12</v>
      </c>
      <c r="M7" s="1263" t="s">
        <v>13</v>
      </c>
      <c r="N7" s="15">
        <v>4500000</v>
      </c>
      <c r="O7" s="1558"/>
      <c r="P7" s="1558"/>
      <c r="Q7" s="1558"/>
      <c r="R7" s="1558"/>
      <c r="S7" s="1558"/>
    </row>
    <row r="8" spans="1:19" ht="15.75" customHeight="1">
      <c r="A8" s="103"/>
      <c r="B8" s="103"/>
      <c r="C8" s="1559" t="s">
        <v>1421</v>
      </c>
      <c r="D8" s="1559"/>
      <c r="E8" s="1559"/>
      <c r="F8" s="1559"/>
      <c r="G8" s="1559"/>
      <c r="H8" s="103"/>
      <c r="I8" s="103"/>
      <c r="J8" s="101"/>
      <c r="K8" s="1263"/>
      <c r="L8" s="96" t="s">
        <v>14</v>
      </c>
      <c r="M8" s="1263" t="s">
        <v>15</v>
      </c>
      <c r="N8" s="15">
        <v>2200000</v>
      </c>
      <c r="O8" s="1558" t="str">
        <f>IF(OR('Page 7'!J10&gt;'Page 7'!H10,'Page 7'!J17&gt;'Page 7'!H17),"Please correct error on Page 7","")</f>
        <v/>
      </c>
      <c r="P8" s="1558"/>
      <c r="Q8" s="1558"/>
      <c r="R8" s="1558"/>
      <c r="S8" s="1558"/>
    </row>
    <row r="9" spans="1:19" ht="15.75" customHeight="1">
      <c r="A9" s="4"/>
      <c r="B9" s="4"/>
      <c r="C9" s="1571" t="s">
        <v>16</v>
      </c>
      <c r="D9" s="1571"/>
      <c r="E9" s="1571"/>
      <c r="F9" s="1571"/>
      <c r="G9" s="1571"/>
      <c r="H9" s="4"/>
      <c r="I9" s="3"/>
      <c r="J9" s="101"/>
      <c r="K9" s="1263"/>
      <c r="L9" s="96" t="s">
        <v>17</v>
      </c>
      <c r="M9" s="1263" t="s">
        <v>18</v>
      </c>
      <c r="N9" s="15">
        <v>225000</v>
      </c>
      <c r="O9" s="1558" t="str">
        <f>IF('Data Entry'!G16="","Please enter a SIS vendor on the Data Entry tab","")</f>
        <v/>
      </c>
      <c r="P9" s="1558"/>
      <c r="Q9" s="1558"/>
      <c r="R9" s="1558"/>
      <c r="S9" s="1558"/>
    </row>
    <row r="10" spans="1:19" ht="16.2" thickBot="1">
      <c r="A10" s="1564" t="s">
        <v>19</v>
      </c>
      <c r="B10" s="1565"/>
      <c r="C10" s="1565"/>
      <c r="D10" s="1565"/>
      <c r="E10" s="1565"/>
      <c r="F10" s="1565"/>
      <c r="G10" s="1565"/>
      <c r="H10" s="1565"/>
      <c r="I10" s="1566"/>
      <c r="J10" s="101"/>
      <c r="K10" s="1263"/>
      <c r="L10" s="96" t="s">
        <v>20</v>
      </c>
      <c r="M10" s="1263" t="s">
        <v>21</v>
      </c>
      <c r="N10" s="104">
        <f>SUM(N6:N9)</f>
        <v>8125000</v>
      </c>
      <c r="O10" s="1558"/>
      <c r="P10" s="1558"/>
      <c r="Q10" s="1558"/>
      <c r="R10" s="1558"/>
      <c r="S10" s="1558"/>
    </row>
    <row r="11" spans="1:19" ht="16.2" thickTop="1">
      <c r="A11" s="1565"/>
      <c r="B11" s="1565"/>
      <c r="C11" s="1565"/>
      <c r="D11" s="1565"/>
      <c r="E11" s="1565"/>
      <c r="F11" s="1565"/>
      <c r="G11" s="1565"/>
      <c r="H11" s="1565"/>
      <c r="I11" s="1566"/>
      <c r="J11" s="101"/>
      <c r="K11" s="1263" t="s">
        <v>22</v>
      </c>
      <c r="L11" s="1466" t="s">
        <v>23</v>
      </c>
      <c r="M11" s="106"/>
      <c r="N11" s="106"/>
      <c r="O11" s="106"/>
      <c r="P11" s="106"/>
      <c r="Q11" s="96"/>
      <c r="R11" s="96"/>
      <c r="S11" s="96"/>
    </row>
    <row r="12" spans="1:19" ht="15" customHeight="1">
      <c r="A12" s="1560" t="s">
        <v>1346</v>
      </c>
      <c r="B12" s="1560"/>
      <c r="C12" s="1560"/>
      <c r="D12" s="1560"/>
      <c r="E12" s="1560"/>
      <c r="F12" s="1560"/>
      <c r="G12" s="1560"/>
      <c r="H12" s="1560"/>
      <c r="I12" s="1561"/>
      <c r="J12" s="101"/>
      <c r="K12" s="96"/>
      <c r="L12" s="96"/>
      <c r="M12" s="96"/>
      <c r="N12" s="4" t="s">
        <v>1347</v>
      </c>
      <c r="O12" s="4"/>
      <c r="P12" s="96"/>
      <c r="Q12" s="4" t="s">
        <v>1348</v>
      </c>
      <c r="R12" s="4"/>
      <c r="S12" s="96"/>
    </row>
    <row r="13" spans="1:19">
      <c r="A13" s="96"/>
      <c r="B13" s="96"/>
      <c r="C13" s="1" t="s">
        <v>24</v>
      </c>
      <c r="D13" s="96"/>
      <c r="E13" s="1562" t="s">
        <v>1431</v>
      </c>
      <c r="F13" s="1563"/>
      <c r="G13" s="107" t="str">
        <f>IF(AND(OR(ISNUMBER(SEARCH("Proposed*",C8)),ISNUMBER(SEARCH("Adopted*",C8)),ISNUMBER(SEARCH("Revised*",C8))),E13=""),"Please enter a Proposed Date","")</f>
        <v/>
      </c>
      <c r="H13" s="96"/>
      <c r="I13" s="96"/>
      <c r="J13" s="101"/>
      <c r="K13" s="96"/>
      <c r="L13" s="96" t="s">
        <v>25</v>
      </c>
      <c r="M13" s="96"/>
      <c r="N13" s="17">
        <v>0</v>
      </c>
      <c r="O13" s="108"/>
      <c r="P13" s="109"/>
      <c r="Q13" s="17">
        <v>0</v>
      </c>
      <c r="R13" s="108"/>
      <c r="S13" s="1467"/>
    </row>
    <row r="14" spans="1:19">
      <c r="A14" s="96"/>
      <c r="B14" s="96"/>
      <c r="C14" s="1" t="s">
        <v>26</v>
      </c>
      <c r="D14" s="96"/>
      <c r="E14" s="1557"/>
      <c r="F14" s="1557"/>
      <c r="G14" s="107" t="str">
        <f>IF(AND(OR(ISNUMBER(SEARCH("Adopted*",C8)),ISNUMBER(SEARCH("Revised*",C8))),E14=""),"Please enter an Adopted Date","")</f>
        <v/>
      </c>
      <c r="H14" s="96"/>
      <c r="I14" s="96"/>
      <c r="J14" s="101"/>
      <c r="K14" s="96"/>
      <c r="L14" s="96" t="s">
        <v>27</v>
      </c>
      <c r="M14" s="96"/>
      <c r="N14" s="108"/>
      <c r="O14" s="108"/>
      <c r="P14" s="109"/>
      <c r="Q14" s="110"/>
      <c r="R14" s="110"/>
      <c r="S14" s="96"/>
    </row>
    <row r="15" spans="1:19">
      <c r="A15" s="96"/>
      <c r="B15" s="96"/>
      <c r="C15" s="1" t="s">
        <v>28</v>
      </c>
      <c r="D15" s="96"/>
      <c r="E15" s="1557"/>
      <c r="F15" s="1557"/>
      <c r="G15" s="111" t="str">
        <f>IF(AND(ISNUMBER(SEARCH("Revised*",C8)),E15=""),"Please enter a Revised Date","")</f>
        <v/>
      </c>
      <c r="H15" s="96"/>
      <c r="I15" s="96"/>
      <c r="J15" s="101"/>
      <c r="K15" s="96"/>
      <c r="L15" s="96" t="s">
        <v>29</v>
      </c>
      <c r="M15" s="96"/>
      <c r="N15" s="17"/>
      <c r="O15" s="108"/>
      <c r="P15" s="109"/>
      <c r="Q15" s="17"/>
      <c r="R15" s="108"/>
      <c r="S15" s="96"/>
    </row>
    <row r="16" spans="1:19" ht="15" customHeight="1">
      <c r="A16" s="96"/>
      <c r="B16" s="96"/>
      <c r="E16" s="1571" t="s">
        <v>30</v>
      </c>
      <c r="F16" s="1571"/>
      <c r="G16" s="96"/>
      <c r="H16" s="96"/>
      <c r="I16" s="96"/>
      <c r="J16" s="101"/>
      <c r="K16" s="96"/>
      <c r="L16" s="96" t="s">
        <v>31</v>
      </c>
      <c r="M16" s="96"/>
      <c r="N16" s="16"/>
      <c r="O16" s="108"/>
      <c r="P16" s="109"/>
      <c r="Q16" s="16"/>
      <c r="R16" s="108"/>
      <c r="S16" s="96"/>
    </row>
    <row r="17" spans="1:24" ht="15.75" customHeight="1">
      <c r="A17" s="112"/>
      <c r="B17" s="1591" t="s">
        <v>895</v>
      </c>
      <c r="C17" s="1591"/>
      <c r="D17" s="1591"/>
      <c r="E17" s="1554" t="s">
        <v>1428</v>
      </c>
      <c r="F17" s="1554"/>
      <c r="G17" s="1554"/>
      <c r="H17" s="1554"/>
      <c r="I17" s="113"/>
      <c r="J17" s="101"/>
      <c r="K17" s="96"/>
      <c r="L17" s="96" t="s">
        <v>32</v>
      </c>
      <c r="M17" s="96"/>
      <c r="N17" s="16"/>
      <c r="O17" s="108"/>
      <c r="P17" s="109"/>
      <c r="Q17" s="16"/>
      <c r="R17" s="108"/>
      <c r="S17" s="96"/>
    </row>
    <row r="18" spans="1:24">
      <c r="A18" s="114"/>
      <c r="B18" s="112"/>
      <c r="C18" s="112"/>
      <c r="D18" s="112"/>
      <c r="E18" s="1555"/>
      <c r="F18" s="1555"/>
      <c r="G18" s="1555"/>
      <c r="H18" s="1555"/>
      <c r="I18" s="113"/>
      <c r="J18" s="101"/>
      <c r="K18" s="96"/>
      <c r="L18" s="1" t="s">
        <v>33</v>
      </c>
      <c r="M18" s="4"/>
      <c r="N18" s="16"/>
      <c r="O18" s="108"/>
      <c r="P18" s="109"/>
      <c r="Q18" s="16"/>
      <c r="R18" s="108"/>
      <c r="S18" s="96"/>
      <c r="W18" s="1584" t="str">
        <f>'Page 8'!L24</f>
        <v/>
      </c>
      <c r="X18" s="1584"/>
    </row>
    <row r="19" spans="1:24">
      <c r="A19" s="96"/>
      <c r="B19" s="96"/>
      <c r="C19" s="1567"/>
      <c r="D19" s="1567"/>
      <c r="E19" s="96"/>
      <c r="F19" s="1567"/>
      <c r="G19" s="1567"/>
      <c r="H19" s="96"/>
      <c r="I19" s="96"/>
      <c r="J19" s="101"/>
      <c r="K19" s="96"/>
      <c r="L19" s="1" t="s">
        <v>34</v>
      </c>
      <c r="M19" s="96"/>
      <c r="N19" s="16"/>
      <c r="O19" s="108"/>
      <c r="P19" s="109"/>
      <c r="Q19" s="16"/>
      <c r="R19" s="108"/>
      <c r="S19" s="96"/>
      <c r="W19" s="1584"/>
      <c r="X19" s="1584"/>
    </row>
    <row r="20" spans="1:24">
      <c r="A20" s="96"/>
      <c r="B20" s="96"/>
      <c r="C20" s="1568"/>
      <c r="D20" s="1568"/>
      <c r="E20" s="96"/>
      <c r="F20" s="1568"/>
      <c r="G20" s="1568"/>
      <c r="H20" s="96"/>
      <c r="I20" s="96"/>
      <c r="J20" s="101"/>
      <c r="K20" s="96"/>
      <c r="L20" s="96" t="s">
        <v>35</v>
      </c>
      <c r="M20" s="96"/>
      <c r="N20" s="17"/>
      <c r="O20" s="108"/>
      <c r="P20" s="96"/>
      <c r="Q20" s="17"/>
      <c r="R20" s="108"/>
      <c r="S20" s="96"/>
      <c r="W20" s="1584"/>
      <c r="X20" s="1584"/>
    </row>
    <row r="21" spans="1:24">
      <c r="A21" s="96"/>
      <c r="B21" s="96"/>
      <c r="C21" s="1568"/>
      <c r="D21" s="1568"/>
      <c r="E21" s="96"/>
      <c r="F21" s="1568"/>
      <c r="G21" s="1568"/>
      <c r="H21" s="96"/>
      <c r="I21" s="96"/>
      <c r="J21" s="101"/>
      <c r="K21" s="96"/>
      <c r="L21" s="96" t="s">
        <v>36</v>
      </c>
      <c r="M21" s="96"/>
      <c r="N21" s="17"/>
      <c r="O21" s="108"/>
      <c r="P21" s="96"/>
      <c r="Q21" s="17"/>
      <c r="R21" s="108"/>
      <c r="S21" s="96"/>
      <c r="W21" s="1584"/>
      <c r="X21" s="1584"/>
    </row>
    <row r="22" spans="1:24" ht="16.2" thickBot="1">
      <c r="A22" s="96"/>
      <c r="B22" s="96"/>
      <c r="C22" s="1568"/>
      <c r="D22" s="1568"/>
      <c r="E22" s="96"/>
      <c r="F22" s="1568"/>
      <c r="G22" s="1568"/>
      <c r="H22" s="96"/>
      <c r="I22" s="96"/>
      <c r="J22" s="101"/>
      <c r="K22" s="96"/>
      <c r="L22" s="96" t="s">
        <v>37</v>
      </c>
      <c r="M22" s="96"/>
      <c r="N22" s="115">
        <f>SUM(N15:N21)</f>
        <v>0</v>
      </c>
      <c r="O22" s="108"/>
      <c r="P22" s="96"/>
      <c r="Q22" s="115">
        <f>SUM(Q15:Q21)</f>
        <v>0</v>
      </c>
      <c r="R22" s="108"/>
      <c r="S22" s="4"/>
      <c r="W22" s="1584"/>
      <c r="X22" s="1584"/>
    </row>
    <row r="23" spans="1:24" ht="16.2" thickTop="1">
      <c r="A23" s="96"/>
      <c r="B23" s="96"/>
      <c r="C23" s="1568"/>
      <c r="D23" s="1568"/>
      <c r="E23" s="96"/>
      <c r="F23" s="1568"/>
      <c r="G23" s="1568"/>
      <c r="H23" s="96"/>
      <c r="I23" s="96"/>
      <c r="J23" s="101"/>
      <c r="K23" s="116" t="s">
        <v>38</v>
      </c>
      <c r="M23" s="96"/>
      <c r="N23" s="96"/>
      <c r="O23" s="96"/>
      <c r="P23" s="96"/>
      <c r="Q23" s="96"/>
      <c r="R23" s="96"/>
      <c r="S23" s="96"/>
      <c r="W23" s="1584"/>
      <c r="X23" s="1584"/>
    </row>
    <row r="24" spans="1:24">
      <c r="A24" s="96"/>
      <c r="B24" s="96"/>
      <c r="C24" s="1568"/>
      <c r="D24" s="1568"/>
      <c r="E24" s="96"/>
      <c r="F24" s="1568"/>
      <c r="G24" s="1568"/>
      <c r="H24" s="96"/>
      <c r="I24" s="96"/>
      <c r="J24" s="101"/>
      <c r="K24" s="116"/>
      <c r="M24" s="96"/>
      <c r="N24" s="96"/>
      <c r="O24" s="96"/>
      <c r="P24" s="96"/>
      <c r="Q24" s="117" t="s">
        <v>1024</v>
      </c>
      <c r="R24" s="117"/>
      <c r="S24" s="117" t="s">
        <v>1045</v>
      </c>
      <c r="T24" s="117"/>
      <c r="U24" s="117" t="s">
        <v>1046</v>
      </c>
      <c r="W24" s="1584"/>
      <c r="X24" s="1584"/>
    </row>
    <row r="25" spans="1:24">
      <c r="A25" s="96"/>
      <c r="B25" s="96"/>
      <c r="C25" s="1568"/>
      <c r="D25" s="1568"/>
      <c r="E25" s="96"/>
      <c r="F25" s="1568"/>
      <c r="G25" s="1568"/>
      <c r="H25" s="96"/>
      <c r="I25" s="96"/>
      <c r="J25" s="101"/>
      <c r="K25" s="1263" t="s">
        <v>6</v>
      </c>
      <c r="L25" s="96" t="s">
        <v>1400</v>
      </c>
      <c r="M25" s="96"/>
      <c r="N25" s="96"/>
      <c r="O25" s="96"/>
      <c r="P25" s="1263" t="s">
        <v>21</v>
      </c>
      <c r="Q25" s="102">
        <f>F001TotalExp</f>
        <v>6718232</v>
      </c>
      <c r="R25" s="1263" t="s">
        <v>21</v>
      </c>
      <c r="S25" s="102">
        <f>F001Carryforward</f>
        <v>953984</v>
      </c>
      <c r="T25" s="1263" t="s">
        <v>21</v>
      </c>
      <c r="U25" s="102">
        <f>GBLBudgFY</f>
        <v>7823677</v>
      </c>
      <c r="V25" s="118" t="str">
        <f>IF((Q25+S25)&gt;U25,"GBL Exceeded","")</f>
        <v/>
      </c>
    </row>
    <row r="26" spans="1:24">
      <c r="A26" s="96"/>
      <c r="B26" s="96"/>
      <c r="C26" s="1581" t="s">
        <v>39</v>
      </c>
      <c r="D26" s="1581"/>
      <c r="E26" s="119"/>
      <c r="F26" s="1581" t="s">
        <v>39</v>
      </c>
      <c r="G26" s="1581"/>
      <c r="H26" s="96"/>
      <c r="I26" s="96"/>
      <c r="J26" s="101"/>
      <c r="K26" s="1263" t="s">
        <v>8</v>
      </c>
      <c r="L26" s="96" t="s">
        <v>922</v>
      </c>
      <c r="M26" s="96"/>
      <c r="N26" s="96"/>
      <c r="O26" s="96"/>
      <c r="P26" s="1263" t="s">
        <v>21</v>
      </c>
      <c r="Q26" s="102">
        <f>F610TotalBudgFY</f>
        <v>695200</v>
      </c>
      <c r="R26" s="1263" t="s">
        <v>21</v>
      </c>
      <c r="S26" s="102">
        <f>F610Carryforward</f>
        <v>1129153</v>
      </c>
      <c r="T26" s="1263" t="s">
        <v>21</v>
      </c>
      <c r="U26" s="102">
        <f>UCBLBudgFY</f>
        <v>1824353</v>
      </c>
      <c r="V26" s="118" t="str">
        <f>IF((Q26+S26)&gt;U26,"UCBL Exceeded","")</f>
        <v/>
      </c>
    </row>
    <row r="27" spans="1:24">
      <c r="A27" s="96"/>
      <c r="B27" s="96"/>
      <c r="C27" s="96"/>
      <c r="D27" s="96"/>
      <c r="E27" s="96"/>
      <c r="F27" s="96"/>
      <c r="G27" s="96"/>
      <c r="H27" s="96"/>
      <c r="I27" s="96"/>
      <c r="J27" s="101"/>
      <c r="K27" s="120" t="s">
        <v>22</v>
      </c>
      <c r="L27" s="96" t="s">
        <v>1396</v>
      </c>
      <c r="M27" s="96"/>
      <c r="N27" s="96"/>
      <c r="O27" s="96"/>
      <c r="P27" s="96"/>
      <c r="T27" s="1263" t="s">
        <v>21</v>
      </c>
      <c r="U27" s="102">
        <f>TotFedProjFundBudgFY-F378BudgFY</f>
        <v>117170</v>
      </c>
    </row>
    <row r="28" spans="1:24" ht="16.2" thickBot="1">
      <c r="A28" s="96"/>
      <c r="C28" s="96" t="s">
        <v>1349</v>
      </c>
      <c r="D28" s="96"/>
      <c r="E28" s="96"/>
      <c r="F28" s="96"/>
      <c r="G28" s="96"/>
      <c r="H28" s="96"/>
      <c r="I28" s="96"/>
      <c r="J28" s="101"/>
      <c r="K28" s="120" t="s">
        <v>40</v>
      </c>
      <c r="L28" s="96" t="s">
        <v>41</v>
      </c>
      <c r="M28" s="96"/>
      <c r="N28" s="96"/>
      <c r="O28" s="96"/>
      <c r="P28" s="96"/>
      <c r="T28" s="1263" t="s">
        <v>21</v>
      </c>
      <c r="U28" s="104">
        <f>SUM(U25+U26+U27)</f>
        <v>9765200</v>
      </c>
    </row>
    <row r="29" spans="1:24" ht="16.5" customHeight="1" thickTop="1">
      <c r="A29" s="96"/>
      <c r="B29" s="97" t="s">
        <v>42</v>
      </c>
      <c r="C29" s="96" t="s">
        <v>43</v>
      </c>
      <c r="D29" s="1291"/>
      <c r="F29" s="1592">
        <v>46203</v>
      </c>
      <c r="G29" s="1592"/>
      <c r="H29" s="121" t="s">
        <v>44</v>
      </c>
      <c r="I29" s="122"/>
      <c r="J29" s="101"/>
      <c r="S29" s="123"/>
    </row>
    <row r="30" spans="1:24" ht="16.5" customHeight="1">
      <c r="A30" s="96"/>
      <c r="B30" s="1560"/>
      <c r="C30" s="1560"/>
      <c r="D30" s="124"/>
      <c r="E30" s="96"/>
      <c r="F30" s="1583" t="s">
        <v>30</v>
      </c>
      <c r="G30" s="1583"/>
      <c r="H30" s="96"/>
      <c r="I30" s="96"/>
      <c r="J30" s="101"/>
      <c r="K30" s="1303" t="s">
        <v>45</v>
      </c>
      <c r="L30" s="1303"/>
      <c r="M30" s="1303"/>
      <c r="N30" s="1303"/>
      <c r="O30" s="1303"/>
      <c r="P30" s="1303"/>
      <c r="Q30" s="1303"/>
      <c r="R30" s="123"/>
    </row>
    <row r="31" spans="1:24" ht="14.25" customHeight="1" thickBot="1">
      <c r="A31" s="96"/>
      <c r="B31" s="96"/>
      <c r="C31" s="96"/>
      <c r="D31" s="96"/>
      <c r="E31" s="1298"/>
      <c r="F31" s="125" t="str">
        <f>IF(F29="","Please enter upload by date",IF(F29&gt;=MAX(E13,E14,E15),"","Revise upload date for current submission"))</f>
        <v/>
      </c>
      <c r="G31" s="96"/>
      <c r="H31" s="1298"/>
      <c r="I31" s="96"/>
      <c r="J31" s="101"/>
      <c r="K31" s="120" t="s">
        <v>6</v>
      </c>
      <c r="L31" s="96" t="s">
        <v>1350</v>
      </c>
      <c r="M31" s="1269"/>
      <c r="N31" s="1269"/>
      <c r="O31" s="96"/>
      <c r="P31" s="1588" t="str">
        <f>IF(V32&lt;&gt;"","",IF(OR(S31=0,S32=0),"Average salary information is not complete",""))</f>
        <v/>
      </c>
      <c r="Q31" s="1588"/>
      <c r="R31" s="1263" t="s">
        <v>21</v>
      </c>
      <c r="S31" s="15">
        <v>79135</v>
      </c>
      <c r="T31" s="126" t="str">
        <f>IF(V32&lt;&gt;"","",IF(OR(S31=0,S32=0),1/ERROR,""))</f>
        <v/>
      </c>
    </row>
    <row r="32" spans="1:24" ht="17.25" customHeight="1" thickBot="1">
      <c r="A32" s="96"/>
      <c r="B32" s="1559"/>
      <c r="C32" s="1559"/>
      <c r="D32" s="1559"/>
      <c r="E32" s="96"/>
      <c r="F32" s="1567"/>
      <c r="G32" s="1567"/>
      <c r="H32" s="1567"/>
      <c r="I32" s="96"/>
      <c r="J32" s="101"/>
      <c r="K32" s="120" t="s">
        <v>8</v>
      </c>
      <c r="L32" s="96" t="s">
        <v>1351</v>
      </c>
      <c r="M32" s="96"/>
      <c r="N32" s="96"/>
      <c r="O32" s="96"/>
      <c r="P32" s="1588"/>
      <c r="Q32" s="1588"/>
      <c r="R32" s="1263" t="s">
        <v>21</v>
      </c>
      <c r="S32" s="15">
        <v>79135</v>
      </c>
      <c r="V32" s="58"/>
      <c r="W32" s="1587" t="s">
        <v>46</v>
      </c>
      <c r="X32" s="1587"/>
    </row>
    <row r="33" spans="1:24" ht="17.25" customHeight="1">
      <c r="A33" s="96"/>
      <c r="B33" s="1571" t="s">
        <v>47</v>
      </c>
      <c r="C33" s="1571"/>
      <c r="D33" s="1571"/>
      <c r="E33" s="96"/>
      <c r="F33" s="1560" t="s">
        <v>48</v>
      </c>
      <c r="G33" s="1560"/>
      <c r="H33" s="1560"/>
      <c r="I33" s="96"/>
      <c r="J33" s="101"/>
      <c r="K33" s="120" t="s">
        <v>22</v>
      </c>
      <c r="L33" s="96" t="s">
        <v>49</v>
      </c>
      <c r="M33" s="96"/>
      <c r="N33" s="96"/>
      <c r="O33" s="96"/>
      <c r="P33" s="1588"/>
      <c r="Q33" s="1588"/>
      <c r="R33" s="1263" t="s">
        <v>21</v>
      </c>
      <c r="S33" s="127">
        <f>BudgetYearSalary-PriorYearSalary</f>
        <v>0</v>
      </c>
      <c r="W33" s="1587"/>
      <c r="X33" s="1587"/>
    </row>
    <row r="34" spans="1:24">
      <c r="A34" s="96"/>
      <c r="B34" s="96"/>
      <c r="C34" s="96"/>
      <c r="D34" s="96"/>
      <c r="E34" s="96"/>
      <c r="F34" s="96"/>
      <c r="G34" s="96"/>
      <c r="H34" s="96"/>
      <c r="I34" s="96"/>
      <c r="J34" s="101"/>
      <c r="K34" s="120" t="s">
        <v>40</v>
      </c>
      <c r="L34" s="96" t="s">
        <v>50</v>
      </c>
      <c r="M34" s="96"/>
      <c r="N34" s="96"/>
      <c r="O34" s="128"/>
      <c r="P34" s="1589"/>
      <c r="Q34" s="1589"/>
      <c r="R34" s="1263"/>
      <c r="S34" s="129">
        <f>IF(PriorYearSalary&gt;0,SalaryIncrease/PriorYearSalary,0)</f>
        <v>0</v>
      </c>
    </row>
    <row r="35" spans="1:24" ht="18" customHeight="1">
      <c r="A35" s="96"/>
      <c r="B35" s="1563" t="s">
        <v>1422</v>
      </c>
      <c r="C35" s="1563"/>
      <c r="D35" s="1563"/>
      <c r="E35" s="96"/>
      <c r="F35" s="1559" t="s">
        <v>1423</v>
      </c>
      <c r="G35" s="1559"/>
      <c r="H35" s="1559"/>
      <c r="I35" s="96"/>
      <c r="J35" s="101"/>
      <c r="K35" s="1572" t="s">
        <v>1047</v>
      </c>
      <c r="L35" s="1573"/>
      <c r="M35" s="1573"/>
      <c r="N35" s="1573"/>
      <c r="O35" s="1573"/>
      <c r="P35" s="1573"/>
      <c r="Q35" s="1573"/>
      <c r="R35" s="1573"/>
      <c r="S35" s="1574"/>
    </row>
    <row r="36" spans="1:24" ht="15" customHeight="1">
      <c r="A36" s="96"/>
      <c r="B36" s="1571" t="s">
        <v>51</v>
      </c>
      <c r="C36" s="1571"/>
      <c r="D36" s="1571"/>
      <c r="E36" s="96"/>
      <c r="F36" s="1560" t="s">
        <v>52</v>
      </c>
      <c r="G36" s="1560"/>
      <c r="H36" s="1560"/>
      <c r="I36" s="96"/>
      <c r="J36" s="101"/>
      <c r="K36" s="1575"/>
      <c r="L36" s="1576"/>
      <c r="M36" s="1576"/>
      <c r="N36" s="1576"/>
      <c r="O36" s="1576"/>
      <c r="P36" s="1576"/>
      <c r="Q36" s="1576"/>
      <c r="R36" s="1576"/>
      <c r="S36" s="1577"/>
    </row>
    <row r="37" spans="1:24" ht="15" customHeight="1">
      <c r="A37" s="96"/>
      <c r="B37" s="4"/>
      <c r="C37" s="4"/>
      <c r="D37" s="4"/>
      <c r="E37" s="96"/>
      <c r="F37" s="4"/>
      <c r="G37" s="4"/>
      <c r="H37" s="4"/>
      <c r="I37" s="96"/>
      <c r="J37" s="130"/>
      <c r="K37" s="1575"/>
      <c r="L37" s="1576"/>
      <c r="M37" s="1576"/>
      <c r="N37" s="1576"/>
      <c r="O37" s="1576"/>
      <c r="P37" s="1576"/>
      <c r="Q37" s="1576"/>
      <c r="R37" s="1576"/>
      <c r="S37" s="1577"/>
    </row>
    <row r="38" spans="1:24" ht="15" customHeight="1">
      <c r="A38" s="96"/>
      <c r="B38" s="1582" t="s">
        <v>53</v>
      </c>
      <c r="C38" s="1582"/>
      <c r="D38" s="1559" t="s">
        <v>1423</v>
      </c>
      <c r="E38" s="1559"/>
      <c r="F38" s="1559"/>
      <c r="G38" s="1559"/>
      <c r="H38" s="96"/>
      <c r="I38" s="96"/>
      <c r="J38" s="131"/>
      <c r="K38" s="1575"/>
      <c r="L38" s="1576"/>
      <c r="M38" s="1576"/>
      <c r="N38" s="1576"/>
      <c r="O38" s="1576"/>
      <c r="P38" s="1576"/>
      <c r="Q38" s="1576"/>
      <c r="R38" s="1576"/>
      <c r="S38" s="1577"/>
    </row>
    <row r="39" spans="1:24" ht="15" customHeight="1">
      <c r="A39" s="100"/>
      <c r="B39" s="1"/>
      <c r="C39" s="1"/>
      <c r="D39" s="4"/>
      <c r="E39" s="4"/>
      <c r="F39" s="4"/>
      <c r="G39" s="2"/>
      <c r="H39" s="96"/>
      <c r="I39" s="132"/>
      <c r="J39" s="133"/>
      <c r="K39" s="1578"/>
      <c r="L39" s="1579"/>
      <c r="M39" s="1579"/>
      <c r="N39" s="1579"/>
      <c r="O39" s="1579"/>
      <c r="P39" s="1579"/>
      <c r="Q39" s="1579"/>
      <c r="R39" s="1579"/>
      <c r="S39" s="1580"/>
      <c r="V39" s="1150">
        <f>E3-1</f>
        <v>2026</v>
      </c>
    </row>
    <row r="40" spans="1:24" ht="15" customHeight="1">
      <c r="A40" s="134"/>
      <c r="B40" s="96" t="s">
        <v>54</v>
      </c>
      <c r="C40" s="1569" t="s">
        <v>1424</v>
      </c>
      <c r="D40" s="1569"/>
      <c r="E40" s="96"/>
      <c r="F40" s="1263" t="s">
        <v>55</v>
      </c>
      <c r="G40" s="1570" t="s">
        <v>1425</v>
      </c>
      <c r="H40" s="1559"/>
      <c r="I40" s="132"/>
      <c r="J40" s="135"/>
      <c r="K40" s="120"/>
      <c r="L40" s="96"/>
      <c r="M40" s="96"/>
      <c r="N40" s="96"/>
      <c r="O40" s="123"/>
      <c r="P40" s="123"/>
      <c r="Q40" s="96"/>
      <c r="R40" s="1263"/>
      <c r="S40" s="136"/>
      <c r="V40" s="1150">
        <f>E3-2</f>
        <v>2025</v>
      </c>
    </row>
    <row r="41" spans="1:24" ht="15.75" customHeight="1">
      <c r="A41" s="134"/>
      <c r="B41" s="96"/>
      <c r="C41" s="96"/>
      <c r="D41" s="96"/>
      <c r="E41" s="1279"/>
      <c r="F41" s="96"/>
      <c r="G41" s="96"/>
      <c r="H41" s="96"/>
      <c r="I41" s="132"/>
      <c r="J41" s="137"/>
      <c r="K41" s="120"/>
      <c r="L41" s="96"/>
      <c r="R41" s="1263"/>
      <c r="S41" s="129"/>
      <c r="T41" s="137"/>
    </row>
    <row r="42" spans="1:24">
      <c r="A42" s="138"/>
      <c r="B42" s="96"/>
      <c r="C42" s="96"/>
      <c r="D42" s="96"/>
      <c r="E42" s="1279"/>
      <c r="F42" s="96"/>
      <c r="G42" s="96"/>
      <c r="H42" s="96"/>
      <c r="J42" s="139"/>
      <c r="K42" s="140"/>
      <c r="L42" s="139"/>
      <c r="M42" s="141"/>
      <c r="N42" s="141"/>
      <c r="O42" s="141"/>
      <c r="P42" s="141"/>
      <c r="Q42" s="142"/>
      <c r="R42" s="142"/>
      <c r="S42" s="143"/>
      <c r="T42" s="137"/>
    </row>
    <row r="43" spans="1:24" ht="6.75" customHeight="1">
      <c r="B43" s="100"/>
      <c r="C43" s="1279"/>
      <c r="D43" s="1279"/>
      <c r="E43" s="144"/>
      <c r="F43" s="1279"/>
      <c r="G43" s="1279"/>
      <c r="H43" s="1279"/>
      <c r="S43" s="145"/>
    </row>
    <row r="44" spans="1:24">
      <c r="E44" s="144"/>
      <c r="F44" s="144"/>
      <c r="G44" s="146"/>
      <c r="H44" s="144"/>
    </row>
    <row r="45" spans="1:24">
      <c r="E45" s="138"/>
      <c r="F45" s="144"/>
      <c r="G45" s="144"/>
      <c r="H45" s="144"/>
    </row>
    <row r="56" spans="2:2">
      <c r="B56" s="147"/>
    </row>
  </sheetData>
  <sheetProtection sheet="1" formatCells="0" formatColumns="0" formatRows="0"/>
  <mergeCells count="56">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 ref="C23:D23"/>
    <mergeCell ref="C20:D20"/>
    <mergeCell ref="C21:D21"/>
    <mergeCell ref="K35:S39"/>
    <mergeCell ref="C26:D26"/>
    <mergeCell ref="B32:D32"/>
    <mergeCell ref="B38:C38"/>
    <mergeCell ref="B30:C30"/>
    <mergeCell ref="F32:H32"/>
    <mergeCell ref="F30:G30"/>
    <mergeCell ref="F26:G26"/>
    <mergeCell ref="C22:D22"/>
    <mergeCell ref="C40:D40"/>
    <mergeCell ref="D38:G38"/>
    <mergeCell ref="G40:H40"/>
    <mergeCell ref="B33:D33"/>
    <mergeCell ref="F33:H33"/>
    <mergeCell ref="B36:D36"/>
    <mergeCell ref="F36:H36"/>
    <mergeCell ref="B35:D35"/>
    <mergeCell ref="F35:H35"/>
    <mergeCell ref="F19:G19"/>
    <mergeCell ref="F20:G20"/>
    <mergeCell ref="F23:G23"/>
    <mergeCell ref="F21:G21"/>
    <mergeCell ref="F22:G22"/>
    <mergeCell ref="E17:H17"/>
    <mergeCell ref="E18:H18"/>
    <mergeCell ref="O4:P4"/>
    <mergeCell ref="E14:F14"/>
    <mergeCell ref="O8:S8"/>
    <mergeCell ref="C8:G8"/>
    <mergeCell ref="A4:I4"/>
    <mergeCell ref="A6:I6"/>
    <mergeCell ref="A12:I12"/>
    <mergeCell ref="A5:I5"/>
    <mergeCell ref="E13:F13"/>
    <mergeCell ref="A10:I11"/>
    <mergeCell ref="O6:S7"/>
    <mergeCell ref="O9:S10"/>
  </mergeCells>
  <conditionalFormatting sqref="W18:X24">
    <cfRule type="expression" dxfId="33"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s>
  <printOptions horizontalCentered="1"/>
  <pageMargins left="0.25" right="0.25" top="0.25" bottom="0.25" header="0" footer="0.15"/>
  <pageSetup paperSize="5" scale="69"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zoomScaleNormal="100" zoomScaleSheetLayoutView="130" workbookViewId="0"/>
  </sheetViews>
  <sheetFormatPr defaultColWidth="9.81640625" defaultRowHeight="15.6"/>
  <cols>
    <col min="1" max="1" width="16.81640625" style="97" customWidth="1"/>
    <col min="2" max="2" width="26.81640625" style="97" customWidth="1"/>
    <col min="3" max="3" width="3" style="97" customWidth="1"/>
    <col min="4" max="5" width="5.81640625" style="97" customWidth="1"/>
    <col min="6" max="13" width="10.81640625" style="97" customWidth="1"/>
    <col min="14" max="14" width="6.81640625" style="97" customWidth="1"/>
    <col min="15" max="16" width="3.81640625" style="97" customWidth="1"/>
    <col min="17" max="22" width="9.81640625" style="97" customWidth="1"/>
    <col min="23" max="16384" width="9.81640625" style="97"/>
  </cols>
  <sheetData>
    <row r="1" spans="1:17" ht="12" customHeight="1">
      <c r="A1" s="1262" t="s">
        <v>140</v>
      </c>
      <c r="B1" s="1595" t="str">
        <f>DistrictName</f>
        <v>Mary C O'Brien Accommodation District</v>
      </c>
      <c r="C1" s="1595"/>
      <c r="D1" s="1595"/>
      <c r="E1" s="1595"/>
      <c r="F1" s="1262" t="s">
        <v>1</v>
      </c>
      <c r="G1" s="1604" t="str">
        <f>Cover!H1</f>
        <v>Pinal</v>
      </c>
      <c r="H1" s="1611"/>
      <c r="I1" s="138"/>
      <c r="J1" s="1262" t="s">
        <v>57</v>
      </c>
      <c r="K1" s="98" t="str">
        <f>Cover!S1</f>
        <v>110100000</v>
      </c>
      <c r="L1" s="148"/>
      <c r="M1" s="1262" t="s">
        <v>16</v>
      </c>
      <c r="N1" s="1593" t="str">
        <f>Cover!C8</f>
        <v>Proposed</v>
      </c>
      <c r="O1" s="1593"/>
      <c r="P1" s="138"/>
      <c r="Q1" s="138"/>
    </row>
    <row r="2" spans="1:17" ht="42" customHeight="1">
      <c r="A2" s="1721" t="s">
        <v>1010</v>
      </c>
      <c r="B2" s="1722"/>
      <c r="C2" s="1722"/>
      <c r="D2" s="1722"/>
      <c r="E2" s="1722"/>
      <c r="F2" s="1722"/>
      <c r="G2" s="1722"/>
      <c r="H2" s="1722"/>
      <c r="I2" s="1722"/>
      <c r="J2" s="1722"/>
      <c r="K2" s="1722"/>
      <c r="L2" s="1722"/>
      <c r="M2" s="1722"/>
      <c r="N2" s="1722"/>
      <c r="O2" s="558"/>
      <c r="P2" s="558"/>
      <c r="Q2" s="558"/>
    </row>
    <row r="3" spans="1:17" ht="12" customHeight="1">
      <c r="A3" s="1470" t="s">
        <v>682</v>
      </c>
      <c r="C3" s="99"/>
      <c r="D3" s="559"/>
      <c r="E3" s="560"/>
      <c r="F3" s="561"/>
      <c r="G3" s="1266" t="s">
        <v>77</v>
      </c>
      <c r="H3" s="1266" t="s">
        <v>78</v>
      </c>
      <c r="I3" s="1266"/>
      <c r="J3" s="1266"/>
      <c r="K3" s="1266"/>
      <c r="L3" s="312" t="s">
        <v>79</v>
      </c>
      <c r="M3" s="312"/>
      <c r="N3" s="163"/>
    </row>
    <row r="4" spans="1:17" ht="12" customHeight="1">
      <c r="A4" s="1723" t="s">
        <v>306</v>
      </c>
      <c r="B4" s="1724"/>
      <c r="C4" s="96"/>
      <c r="D4" s="164" t="s">
        <v>80</v>
      </c>
      <c r="E4" s="562"/>
      <c r="F4" s="165" t="s">
        <v>81</v>
      </c>
      <c r="G4" s="161" t="s">
        <v>307</v>
      </c>
      <c r="H4" s="161" t="s">
        <v>308</v>
      </c>
      <c r="I4" s="161" t="s">
        <v>82</v>
      </c>
      <c r="J4" s="161" t="s">
        <v>146</v>
      </c>
      <c r="K4" s="161" t="s">
        <v>83</v>
      </c>
      <c r="L4" s="4" t="s">
        <v>84</v>
      </c>
      <c r="M4" s="165" t="s">
        <v>85</v>
      </c>
      <c r="N4" s="161" t="s">
        <v>86</v>
      </c>
    </row>
    <row r="5" spans="1:17" ht="12" customHeight="1">
      <c r="A5" s="563"/>
      <c r="C5" s="96"/>
      <c r="D5" s="161" t="s">
        <v>84</v>
      </c>
      <c r="E5" s="4" t="s">
        <v>85</v>
      </c>
      <c r="F5" s="165"/>
      <c r="G5" s="166"/>
      <c r="H5" s="161" t="s">
        <v>88</v>
      </c>
      <c r="I5" s="161"/>
      <c r="J5" s="161"/>
      <c r="K5" s="161"/>
      <c r="L5" s="4" t="s">
        <v>3</v>
      </c>
      <c r="M5" s="165" t="s">
        <v>3</v>
      </c>
      <c r="N5" s="161" t="s">
        <v>89</v>
      </c>
    </row>
    <row r="6" spans="1:17" ht="12" customHeight="1">
      <c r="A6" s="564" t="s">
        <v>87</v>
      </c>
      <c r="C6" s="169"/>
      <c r="D6" s="161" t="s">
        <v>3</v>
      </c>
      <c r="E6" s="171" t="s">
        <v>3</v>
      </c>
      <c r="F6" s="172">
        <v>6100</v>
      </c>
      <c r="G6" s="170" t="s">
        <v>91</v>
      </c>
      <c r="H6" s="170" t="s">
        <v>92</v>
      </c>
      <c r="I6" s="170">
        <v>6600</v>
      </c>
      <c r="J6" s="170">
        <v>6700</v>
      </c>
      <c r="K6" s="170" t="s">
        <v>93</v>
      </c>
      <c r="L6" s="171">
        <f>PriorFiscalYear</f>
        <v>2026</v>
      </c>
      <c r="M6" s="172">
        <f>Cover!E3</f>
        <v>2027</v>
      </c>
      <c r="N6" s="170" t="s">
        <v>94</v>
      </c>
    </row>
    <row r="7" spans="1:17" ht="13.5" customHeight="1">
      <c r="A7" s="1719" t="s">
        <v>309</v>
      </c>
      <c r="B7" s="1720"/>
      <c r="C7" s="565"/>
      <c r="D7" s="1109"/>
      <c r="E7" s="173"/>
      <c r="F7" s="174"/>
      <c r="G7" s="174"/>
      <c r="H7" s="174"/>
      <c r="I7" s="174"/>
      <c r="J7" s="1107"/>
      <c r="K7" s="1110"/>
      <c r="L7" s="1109"/>
      <c r="M7" s="1109"/>
      <c r="N7" s="1109"/>
      <c r="O7" s="566"/>
    </row>
    <row r="8" spans="1:17" ht="13.5" customHeight="1">
      <c r="A8" s="101" t="s">
        <v>96</v>
      </c>
      <c r="B8" s="96"/>
      <c r="C8" s="175" t="s">
        <v>6</v>
      </c>
      <c r="D8" s="1179">
        <f>[1]!F071F1000Personnel</f>
        <v>0</v>
      </c>
      <c r="E8" s="36"/>
      <c r="F8" s="8"/>
      <c r="G8" s="8"/>
      <c r="H8" s="8"/>
      <c r="I8" s="8"/>
      <c r="J8" s="1108"/>
      <c r="K8" s="45"/>
      <c r="L8" s="1157">
        <f>[1]!F071F1000</f>
        <v>0</v>
      </c>
      <c r="M8" s="1157">
        <f>SUM(F8:K8)</f>
        <v>0</v>
      </c>
      <c r="N8" s="1167">
        <f>IF(L8=M8,0,IF(L8&gt;0,(M8-L8)/L8,""))</f>
        <v>0</v>
      </c>
      <c r="O8" s="177" t="s">
        <v>6</v>
      </c>
      <c r="P8" s="1263"/>
    </row>
    <row r="9" spans="1:17" ht="13.5" customHeight="1">
      <c r="A9" s="101" t="s">
        <v>951</v>
      </c>
      <c r="B9" s="96"/>
      <c r="C9" s="175" t="s">
        <v>42</v>
      </c>
      <c r="D9" s="1109"/>
      <c r="E9" s="173"/>
      <c r="F9" s="174"/>
      <c r="G9" s="174"/>
      <c r="H9" s="174"/>
      <c r="I9" s="174"/>
      <c r="J9" s="1107"/>
      <c r="K9" s="1110"/>
      <c r="L9" s="1086"/>
      <c r="M9" s="1086"/>
      <c r="N9" s="1086"/>
      <c r="O9" s="177" t="s">
        <v>42</v>
      </c>
      <c r="P9" s="1263"/>
    </row>
    <row r="10" spans="1:17" ht="13.5" customHeight="1">
      <c r="A10" s="101" t="s">
        <v>97</v>
      </c>
      <c r="B10" s="96"/>
      <c r="C10" s="175" t="s">
        <v>8</v>
      </c>
      <c r="D10" s="1179">
        <f>[1]!F071F2100Personnel</f>
        <v>0</v>
      </c>
      <c r="E10" s="36"/>
      <c r="F10" s="8"/>
      <c r="G10" s="8"/>
      <c r="H10" s="8"/>
      <c r="I10" s="8"/>
      <c r="J10" s="1108"/>
      <c r="K10" s="45"/>
      <c r="L10" s="1153">
        <f>[1]!F071F2100</f>
        <v>0</v>
      </c>
      <c r="M10" s="1153">
        <f>SUM(F10:K10)</f>
        <v>0</v>
      </c>
      <c r="N10" s="1154">
        <f>IF(L10=M10,0,IF(L10&gt;0,(M10-L10)/L10,""))</f>
        <v>0</v>
      </c>
      <c r="O10" s="177" t="s">
        <v>8</v>
      </c>
      <c r="P10" s="1263"/>
    </row>
    <row r="11" spans="1:17" ht="13.5" customHeight="1">
      <c r="A11" s="101" t="s">
        <v>952</v>
      </c>
      <c r="B11" s="96"/>
      <c r="C11" s="175" t="s">
        <v>22</v>
      </c>
      <c r="D11" s="1155">
        <f>[1]!F071F2200Personnel</f>
        <v>0</v>
      </c>
      <c r="E11" s="13"/>
      <c r="F11" s="9"/>
      <c r="G11" s="9"/>
      <c r="H11" s="9"/>
      <c r="I11" s="9"/>
      <c r="J11" s="567"/>
      <c r="K11" s="9"/>
      <c r="L11" s="176">
        <f>[1]!F071F2200</f>
        <v>0</v>
      </c>
      <c r="M11" s="176">
        <f t="shared" ref="M11:M17" si="0">SUM(F11:K11)</f>
        <v>0</v>
      </c>
      <c r="N11" s="1158">
        <f t="shared" ref="N11:N17" si="1">IF(L11=M11,0,IF(L11&gt;0,(M11-L11)/L11,""))</f>
        <v>0</v>
      </c>
      <c r="O11" s="177" t="s">
        <v>22</v>
      </c>
      <c r="P11" s="1263"/>
    </row>
    <row r="12" spans="1:17" ht="13.5" customHeight="1">
      <c r="A12" s="101" t="s">
        <v>953</v>
      </c>
      <c r="B12" s="96"/>
      <c r="C12" s="175" t="s">
        <v>40</v>
      </c>
      <c r="D12" s="186">
        <f>[1]!F071F2300Personnel</f>
        <v>0</v>
      </c>
      <c r="E12" s="13"/>
      <c r="F12" s="9"/>
      <c r="G12" s="9"/>
      <c r="H12" s="9"/>
      <c r="I12" s="9"/>
      <c r="J12" s="567"/>
      <c r="K12" s="9"/>
      <c r="L12" s="1159">
        <f>[1]!F071F2300</f>
        <v>0</v>
      </c>
      <c r="M12" s="176">
        <f t="shared" si="0"/>
        <v>0</v>
      </c>
      <c r="N12" s="1160">
        <f t="shared" si="1"/>
        <v>0</v>
      </c>
      <c r="O12" s="177" t="s">
        <v>40</v>
      </c>
      <c r="P12" s="1263"/>
    </row>
    <row r="13" spans="1:17" ht="13.5" customHeight="1">
      <c r="A13" s="101" t="s">
        <v>954</v>
      </c>
      <c r="B13" s="96"/>
      <c r="C13" s="175" t="s">
        <v>98</v>
      </c>
      <c r="D13" s="186">
        <f>[1]!F071F2400Personnel</f>
        <v>0</v>
      </c>
      <c r="E13" s="13"/>
      <c r="F13" s="9"/>
      <c r="G13" s="9"/>
      <c r="H13" s="9"/>
      <c r="I13" s="9"/>
      <c r="J13" s="567"/>
      <c r="K13" s="9"/>
      <c r="L13" s="1159">
        <f>[1]!F071F2400</f>
        <v>0</v>
      </c>
      <c r="M13" s="176">
        <f t="shared" si="0"/>
        <v>0</v>
      </c>
      <c r="N13" s="1160">
        <f t="shared" si="1"/>
        <v>0</v>
      </c>
      <c r="O13" s="177" t="s">
        <v>98</v>
      </c>
      <c r="P13" s="1263"/>
    </row>
    <row r="14" spans="1:17" ht="13.5" customHeight="1">
      <c r="A14" s="101" t="s">
        <v>955</v>
      </c>
      <c r="B14" s="96"/>
      <c r="C14" s="175" t="s">
        <v>99</v>
      </c>
      <c r="D14" s="186">
        <f>[1]!F071F2500Personnel</f>
        <v>0</v>
      </c>
      <c r="E14" s="13"/>
      <c r="F14" s="9"/>
      <c r="G14" s="9"/>
      <c r="H14" s="9"/>
      <c r="I14" s="9"/>
      <c r="J14" s="567"/>
      <c r="K14" s="9"/>
      <c r="L14" s="1159">
        <f>[1]!F071F2500</f>
        <v>0</v>
      </c>
      <c r="M14" s="176">
        <f t="shared" si="0"/>
        <v>0</v>
      </c>
      <c r="N14" s="1160">
        <f t="shared" si="1"/>
        <v>0</v>
      </c>
      <c r="O14" s="177" t="s">
        <v>99</v>
      </c>
      <c r="P14" s="1263"/>
    </row>
    <row r="15" spans="1:17" ht="13.5" customHeight="1">
      <c r="A15" s="101" t="s">
        <v>956</v>
      </c>
      <c r="B15" s="96"/>
      <c r="C15" s="175" t="s">
        <v>100</v>
      </c>
      <c r="D15" s="186">
        <f>[1]!F071F2600Personnel</f>
        <v>0</v>
      </c>
      <c r="E15" s="13"/>
      <c r="F15" s="9"/>
      <c r="G15" s="9"/>
      <c r="H15" s="9"/>
      <c r="I15" s="9"/>
      <c r="J15" s="567"/>
      <c r="K15" s="9"/>
      <c r="L15" s="1159">
        <f>[1]!F071F2600</f>
        <v>0</v>
      </c>
      <c r="M15" s="176">
        <f t="shared" si="0"/>
        <v>0</v>
      </c>
      <c r="N15" s="1160">
        <f t="shared" si="1"/>
        <v>0</v>
      </c>
      <c r="O15" s="177" t="s">
        <v>100</v>
      </c>
      <c r="P15" s="1263"/>
    </row>
    <row r="16" spans="1:17" ht="13.5" customHeight="1">
      <c r="A16" s="101" t="s">
        <v>1009</v>
      </c>
      <c r="B16" s="96"/>
      <c r="C16" s="175" t="s">
        <v>102</v>
      </c>
      <c r="D16" s="186">
        <f>[1]!F071F2700Personnel</f>
        <v>0</v>
      </c>
      <c r="E16" s="13"/>
      <c r="F16" s="9"/>
      <c r="G16" s="9"/>
      <c r="H16" s="9"/>
      <c r="I16" s="9"/>
      <c r="J16" s="567"/>
      <c r="K16" s="9"/>
      <c r="L16" s="1159">
        <f>[1]!F071F2700</f>
        <v>0</v>
      </c>
      <c r="M16" s="176">
        <f t="shared" si="0"/>
        <v>0</v>
      </c>
      <c r="N16" s="1160">
        <f t="shared" si="1"/>
        <v>0</v>
      </c>
      <c r="O16" s="177" t="s">
        <v>102</v>
      </c>
      <c r="P16" s="1263"/>
    </row>
    <row r="17" spans="1:16" ht="13.5" customHeight="1">
      <c r="A17" s="101" t="s">
        <v>101</v>
      </c>
      <c r="B17" s="96"/>
      <c r="C17" s="175" t="s">
        <v>103</v>
      </c>
      <c r="D17" s="186">
        <f>[1]!F071F2900Personnel</f>
        <v>0</v>
      </c>
      <c r="E17" s="13"/>
      <c r="F17" s="9"/>
      <c r="G17" s="9"/>
      <c r="H17" s="9"/>
      <c r="I17" s="9"/>
      <c r="J17" s="567"/>
      <c r="K17" s="9"/>
      <c r="L17" s="1159">
        <f>[1]!F071F2900</f>
        <v>0</v>
      </c>
      <c r="M17" s="176">
        <f t="shared" si="0"/>
        <v>0</v>
      </c>
      <c r="N17" s="1160">
        <f t="shared" si="1"/>
        <v>0</v>
      </c>
      <c r="O17" s="177" t="s">
        <v>103</v>
      </c>
      <c r="P17" s="1263"/>
    </row>
    <row r="18" spans="1:16" ht="13.5" customHeight="1">
      <c r="A18" s="568" t="s">
        <v>1105</v>
      </c>
      <c r="B18" s="569"/>
      <c r="C18" s="570" t="s">
        <v>104</v>
      </c>
      <c r="D18" s="1161">
        <f>SUM(D8:D17)</f>
        <v>0</v>
      </c>
      <c r="E18" s="186">
        <f>E8+SUM(E10:E17)</f>
        <v>0</v>
      </c>
      <c r="F18" s="190">
        <f>F8+SUM(F10:F17)</f>
        <v>0</v>
      </c>
      <c r="G18" s="190">
        <f>G8+SUM(G10:G17)</f>
        <v>0</v>
      </c>
      <c r="H18" s="190">
        <f>H8+SUM(H10:H17)</f>
        <v>0</v>
      </c>
      <c r="I18" s="190">
        <f>I8+SUM(I10:I17)</f>
        <v>0</v>
      </c>
      <c r="J18" s="571"/>
      <c r="K18" s="190">
        <f>K8+SUM(K10:K17)</f>
        <v>0</v>
      </c>
      <c r="L18" s="1162">
        <f>SUM(L8:L17)</f>
        <v>0</v>
      </c>
      <c r="M18" s="1162">
        <f>SUM(M8:M17)</f>
        <v>0</v>
      </c>
      <c r="N18" s="1163">
        <f>IF(L18=M18,0,IF(L18&gt;0,(M18-L18)/L18,""))</f>
        <v>0</v>
      </c>
      <c r="O18" s="327" t="s">
        <v>104</v>
      </c>
      <c r="P18" s="1263"/>
    </row>
    <row r="19" spans="1:16" ht="13.5" customHeight="1">
      <c r="A19" s="1719" t="s">
        <v>310</v>
      </c>
      <c r="B19" s="1720"/>
      <c r="C19" s="572"/>
      <c r="D19" s="1109"/>
      <c r="E19" s="173"/>
      <c r="F19" s="174"/>
      <c r="G19" s="174"/>
      <c r="H19" s="174"/>
      <c r="I19" s="174"/>
      <c r="J19" s="1107"/>
      <c r="K19" s="1110"/>
      <c r="L19" s="1086"/>
      <c r="M19" s="1086"/>
      <c r="N19" s="1086"/>
      <c r="O19" s="566"/>
    </row>
    <row r="20" spans="1:16" ht="13.5" customHeight="1">
      <c r="A20" s="101" t="s">
        <v>96</v>
      </c>
      <c r="B20" s="96"/>
      <c r="C20" s="175" t="s">
        <v>105</v>
      </c>
      <c r="D20" s="1179">
        <f>[1]!F072F1000Personnel</f>
        <v>0</v>
      </c>
      <c r="E20" s="36"/>
      <c r="F20" s="8"/>
      <c r="G20" s="8"/>
      <c r="H20" s="8"/>
      <c r="I20" s="8"/>
      <c r="J20" s="1108"/>
      <c r="K20" s="45"/>
      <c r="L20" s="1153">
        <f>[1]!F072F1000</f>
        <v>0</v>
      </c>
      <c r="M20" s="1153">
        <f>SUM(F20:K20)</f>
        <v>0</v>
      </c>
      <c r="N20" s="1154">
        <f>IF(L20=M20,0,IF(L20&gt;0,(M20-L20)/L20,""))</f>
        <v>0</v>
      </c>
      <c r="O20" s="177" t="s">
        <v>105</v>
      </c>
      <c r="P20" s="1263"/>
    </row>
    <row r="21" spans="1:16" ht="13.5" customHeight="1">
      <c r="A21" s="101" t="s">
        <v>951</v>
      </c>
      <c r="B21" s="96"/>
      <c r="C21" s="175"/>
      <c r="D21" s="1109"/>
      <c r="E21" s="173"/>
      <c r="F21" s="174"/>
      <c r="G21" s="174"/>
      <c r="H21" s="174"/>
      <c r="I21" s="174"/>
      <c r="J21" s="1107"/>
      <c r="K21" s="1110"/>
      <c r="L21" s="1086"/>
      <c r="M21" s="1086"/>
      <c r="N21" s="1086"/>
      <c r="O21" s="177" t="s">
        <v>42</v>
      </c>
      <c r="P21" s="1263"/>
    </row>
    <row r="22" spans="1:16" ht="13.5" customHeight="1">
      <c r="A22" s="101" t="s">
        <v>97</v>
      </c>
      <c r="B22" s="96"/>
      <c r="C22" s="175" t="s">
        <v>106</v>
      </c>
      <c r="D22" s="1179">
        <f>[1]!F072F2100Personnel</f>
        <v>0</v>
      </c>
      <c r="E22" s="36"/>
      <c r="F22" s="8"/>
      <c r="G22" s="8"/>
      <c r="H22" s="8"/>
      <c r="I22" s="8"/>
      <c r="J22" s="1108"/>
      <c r="K22" s="45"/>
      <c r="L22" s="1153">
        <f>[1]!F072F2100</f>
        <v>0</v>
      </c>
      <c r="M22" s="1153">
        <f>SUM(F22:K22)</f>
        <v>0</v>
      </c>
      <c r="N22" s="1154">
        <f>IF(L22=M22,0,IF(L22&gt;0,(M22-L22)/L22,""))</f>
        <v>0</v>
      </c>
      <c r="O22" s="177" t="s">
        <v>106</v>
      </c>
      <c r="P22" s="1263"/>
    </row>
    <row r="23" spans="1:16" ht="13.5" customHeight="1">
      <c r="A23" s="101" t="s">
        <v>952</v>
      </c>
      <c r="B23" s="96"/>
      <c r="C23" s="175" t="s">
        <v>107</v>
      </c>
      <c r="D23" s="1155">
        <f>[1]!F072F2200Personnel</f>
        <v>0</v>
      </c>
      <c r="E23" s="13"/>
      <c r="F23" s="9"/>
      <c r="G23" s="9"/>
      <c r="H23" s="9"/>
      <c r="I23" s="9"/>
      <c r="J23" s="567"/>
      <c r="K23" s="9"/>
      <c r="L23" s="1180">
        <f>[1]!F072F2200</f>
        <v>0</v>
      </c>
      <c r="M23" s="176">
        <f t="shared" ref="M23:M29" si="2">SUM(F23:K23)</f>
        <v>0</v>
      </c>
      <c r="N23" s="1158">
        <f t="shared" ref="N23:N30" si="3">IF(L23=M23,0,IF(L23&gt;0,(M23-L23)/L23,""))</f>
        <v>0</v>
      </c>
      <c r="O23" s="177" t="s">
        <v>107</v>
      </c>
      <c r="P23" s="1263"/>
    </row>
    <row r="24" spans="1:16" ht="13.5" customHeight="1">
      <c r="A24" s="101" t="s">
        <v>953</v>
      </c>
      <c r="B24" s="96"/>
      <c r="C24" s="175" t="s">
        <v>108</v>
      </c>
      <c r="D24" s="186">
        <f>[1]!F072F2300Personnel</f>
        <v>0</v>
      </c>
      <c r="E24" s="13"/>
      <c r="F24" s="9"/>
      <c r="G24" s="9"/>
      <c r="H24" s="9"/>
      <c r="I24" s="9"/>
      <c r="J24" s="567"/>
      <c r="K24" s="9"/>
      <c r="L24" s="178">
        <f>[1]!F072F2300</f>
        <v>0</v>
      </c>
      <c r="M24" s="176">
        <f t="shared" si="2"/>
        <v>0</v>
      </c>
      <c r="N24" s="179">
        <f t="shared" si="3"/>
        <v>0</v>
      </c>
      <c r="O24" s="177" t="s">
        <v>108</v>
      </c>
      <c r="P24" s="1263"/>
    </row>
    <row r="25" spans="1:16" ht="13.5" customHeight="1">
      <c r="A25" s="101" t="s">
        <v>954</v>
      </c>
      <c r="B25" s="96"/>
      <c r="C25" s="175" t="s">
        <v>109</v>
      </c>
      <c r="D25" s="186">
        <f>[1]!F072F2400Personnel</f>
        <v>0</v>
      </c>
      <c r="E25" s="13"/>
      <c r="F25" s="9"/>
      <c r="G25" s="9"/>
      <c r="H25" s="9"/>
      <c r="I25" s="9"/>
      <c r="J25" s="567"/>
      <c r="K25" s="9"/>
      <c r="L25" s="178">
        <f>[1]!F072F2400</f>
        <v>0</v>
      </c>
      <c r="M25" s="176">
        <f t="shared" si="2"/>
        <v>0</v>
      </c>
      <c r="N25" s="179">
        <f t="shared" si="3"/>
        <v>0</v>
      </c>
      <c r="O25" s="177" t="s">
        <v>109</v>
      </c>
      <c r="P25" s="1263"/>
    </row>
    <row r="26" spans="1:16" ht="13.5" customHeight="1">
      <c r="A26" s="101" t="s">
        <v>955</v>
      </c>
      <c r="B26" s="96"/>
      <c r="C26" s="175" t="s">
        <v>110</v>
      </c>
      <c r="D26" s="189">
        <f>[1]!F072F2500Personnel</f>
        <v>0</v>
      </c>
      <c r="E26" s="13"/>
      <c r="F26" s="9"/>
      <c r="G26" s="9"/>
      <c r="H26" s="9"/>
      <c r="I26" s="9"/>
      <c r="J26" s="567"/>
      <c r="K26" s="9"/>
      <c r="L26" s="178">
        <f>[1]!F072F2500</f>
        <v>0</v>
      </c>
      <c r="M26" s="176">
        <f t="shared" si="2"/>
        <v>0</v>
      </c>
      <c r="N26" s="179">
        <f t="shared" si="3"/>
        <v>0</v>
      </c>
      <c r="O26" s="177" t="s">
        <v>110</v>
      </c>
      <c r="P26" s="1263"/>
    </row>
    <row r="27" spans="1:16" ht="13.5" customHeight="1">
      <c r="A27" s="101" t="s">
        <v>956</v>
      </c>
      <c r="B27" s="96"/>
      <c r="C27" s="175" t="s">
        <v>111</v>
      </c>
      <c r="D27" s="189">
        <f>[1]!F072F2600Personnel</f>
        <v>0</v>
      </c>
      <c r="E27" s="13"/>
      <c r="F27" s="9"/>
      <c r="G27" s="9"/>
      <c r="H27" s="9"/>
      <c r="I27" s="9"/>
      <c r="J27" s="567"/>
      <c r="K27" s="9"/>
      <c r="L27" s="178">
        <f>[1]!F072F2600</f>
        <v>0</v>
      </c>
      <c r="M27" s="176">
        <f t="shared" si="2"/>
        <v>0</v>
      </c>
      <c r="N27" s="179">
        <f t="shared" si="3"/>
        <v>0</v>
      </c>
      <c r="O27" s="177" t="s">
        <v>111</v>
      </c>
      <c r="P27" s="1263"/>
    </row>
    <row r="28" spans="1:16" ht="13.5" customHeight="1">
      <c r="A28" s="101" t="s">
        <v>1009</v>
      </c>
      <c r="B28" s="96"/>
      <c r="C28" s="175" t="s">
        <v>112</v>
      </c>
      <c r="D28" s="189">
        <f>[1]!F072F2700Personnel</f>
        <v>0</v>
      </c>
      <c r="E28" s="13"/>
      <c r="F28" s="9"/>
      <c r="G28" s="9"/>
      <c r="H28" s="9"/>
      <c r="I28" s="9"/>
      <c r="J28" s="567"/>
      <c r="K28" s="9"/>
      <c r="L28" s="178">
        <f>[1]!F072F2700</f>
        <v>0</v>
      </c>
      <c r="M28" s="176">
        <f t="shared" si="2"/>
        <v>0</v>
      </c>
      <c r="N28" s="179">
        <f t="shared" si="3"/>
        <v>0</v>
      </c>
      <c r="O28" s="177" t="s">
        <v>112</v>
      </c>
      <c r="P28" s="1263"/>
    </row>
    <row r="29" spans="1:16" ht="13.5" customHeight="1">
      <c r="A29" s="101" t="s">
        <v>101</v>
      </c>
      <c r="B29" s="96"/>
      <c r="C29" s="175" t="s">
        <v>113</v>
      </c>
      <c r="D29" s="189">
        <f>[1]!F072F2900Personnel</f>
        <v>0</v>
      </c>
      <c r="E29" s="13"/>
      <c r="F29" s="9"/>
      <c r="G29" s="9"/>
      <c r="H29" s="9"/>
      <c r="I29" s="9"/>
      <c r="J29" s="567"/>
      <c r="K29" s="9"/>
      <c r="L29" s="178">
        <f>[1]!F072F2900</f>
        <v>0</v>
      </c>
      <c r="M29" s="176">
        <f t="shared" si="2"/>
        <v>0</v>
      </c>
      <c r="N29" s="179">
        <f t="shared" si="3"/>
        <v>0</v>
      </c>
      <c r="O29" s="177" t="s">
        <v>113</v>
      </c>
      <c r="P29" s="1263"/>
    </row>
    <row r="30" spans="1:16" ht="13.5" customHeight="1">
      <c r="A30" s="568" t="s">
        <v>1106</v>
      </c>
      <c r="B30" s="569"/>
      <c r="C30" s="570" t="s">
        <v>114</v>
      </c>
      <c r="D30" s="186">
        <f>SUM(D20:D29)</f>
        <v>0</v>
      </c>
      <c r="E30" s="186">
        <f>E20+SUM(E22:E29)</f>
        <v>0</v>
      </c>
      <c r="F30" s="190">
        <f>F20+SUM(F22:F29)</f>
        <v>0</v>
      </c>
      <c r="G30" s="190">
        <f>G20+SUM(G22:G29)</f>
        <v>0</v>
      </c>
      <c r="H30" s="190">
        <f>H20+SUM(H22:H29)</f>
        <v>0</v>
      </c>
      <c r="I30" s="190">
        <f>I20+SUM(I22:I29)</f>
        <v>0</v>
      </c>
      <c r="J30" s="571"/>
      <c r="K30" s="190">
        <f>K20+SUM(K22:K29)</f>
        <v>0</v>
      </c>
      <c r="L30" s="190">
        <f>SUM(L20:L29)</f>
        <v>0</v>
      </c>
      <c r="M30" s="190">
        <f>SUM(M20:M29)</f>
        <v>0</v>
      </c>
      <c r="N30" s="179">
        <f t="shared" si="3"/>
        <v>0</v>
      </c>
      <c r="O30" s="327" t="s">
        <v>114</v>
      </c>
      <c r="P30" s="1263"/>
    </row>
    <row r="31" spans="1:16" ht="9" customHeight="1"/>
    <row r="33" s="97" customFormat="1"/>
    <row r="34" s="97" customFormat="1"/>
    <row r="35" s="97" customFormat="1"/>
    <row r="36" s="97" customFormat="1"/>
    <row r="37" s="97" customFormat="1"/>
    <row r="38" s="97" customFormat="1"/>
    <row r="39" s="97" customFormat="1"/>
    <row r="40" s="97" customFormat="1"/>
    <row r="41" s="97" customFormat="1"/>
    <row r="42" s="97" customFormat="1"/>
    <row r="43" s="97" customFormat="1"/>
    <row r="44" s="97" customFormat="1"/>
    <row r="45" s="97" customFormat="1"/>
    <row r="46" s="97" customFormat="1"/>
    <row r="47" s="97" customFormat="1"/>
    <row r="48" s="97"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3"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zoomScaleNormal="100" workbookViewId="0">
      <selection activeCell="A6" sqref="A6"/>
    </sheetView>
  </sheetViews>
  <sheetFormatPr defaultColWidth="8.54296875" defaultRowHeight="10.199999999999999"/>
  <cols>
    <col min="1" max="1" width="28.81640625" style="577" customWidth="1"/>
    <col min="2" max="2" width="9.1796875" style="577" customWidth="1"/>
    <col min="3" max="3" width="10.1796875" style="577" customWidth="1"/>
    <col min="4" max="8" width="8.81640625" style="577" customWidth="1"/>
    <col min="9" max="9" width="10" style="577" customWidth="1"/>
    <col min="10" max="10" width="2" style="577" customWidth="1"/>
    <col min="11" max="11" width="10" style="577" customWidth="1"/>
    <col min="12" max="12" width="8.81640625" style="577" customWidth="1"/>
    <col min="13" max="255" width="5.81640625" style="577" customWidth="1"/>
    <col min="256" max="261" width="8.54296875" style="577" customWidth="1"/>
    <col min="262" max="16384" width="8.54296875" style="577"/>
  </cols>
  <sheetData>
    <row r="1" spans="1:22" ht="15">
      <c r="A1" s="573" t="str">
        <f>IF(OR(Version="Proposed",Version=""),"Summary of School District Proposed Expenditure Budget",IF(Version="Adopted","Summary of School District Adopted Expenditure Budget","Summary of School District Revised Expenditure Budget"))</f>
        <v>Summary of School District Proposed Expenditure Budget</v>
      </c>
      <c r="B1" s="1139"/>
      <c r="C1" s="1139"/>
      <c r="D1" s="1139"/>
      <c r="E1" s="1139"/>
      <c r="F1" s="573"/>
      <c r="G1" s="573"/>
      <c r="H1" s="1139" t="s">
        <v>57</v>
      </c>
      <c r="I1" s="574" t="str">
        <f>CTD</f>
        <v>110100000</v>
      </c>
      <c r="J1" s="575"/>
      <c r="K1" s="576" t="s">
        <v>311</v>
      </c>
      <c r="L1" s="149"/>
    </row>
    <row r="2" spans="1:22" ht="12" customHeight="1">
      <c r="B2" s="1289"/>
      <c r="C2" s="1289"/>
      <c r="D2" s="1289"/>
      <c r="E2" s="1289"/>
      <c r="F2" s="1289"/>
      <c r="G2" s="1289"/>
      <c r="H2" s="1140" t="s">
        <v>16</v>
      </c>
      <c r="I2" s="578" t="str">
        <f>Cover!C8</f>
        <v>Proposed</v>
      </c>
      <c r="J2" s="303"/>
      <c r="K2" s="576" t="s">
        <v>312</v>
      </c>
      <c r="L2" s="576" t="s">
        <v>313</v>
      </c>
      <c r="M2" s="303"/>
      <c r="N2" s="303"/>
      <c r="O2" s="303"/>
      <c r="P2" s="303"/>
      <c r="Q2" s="303"/>
      <c r="R2" s="303"/>
      <c r="S2" s="303"/>
      <c r="T2" s="303"/>
      <c r="U2" s="303"/>
      <c r="V2" s="303"/>
    </row>
    <row r="3" spans="1:22" ht="15" customHeight="1">
      <c r="A3" s="579" t="s">
        <v>314</v>
      </c>
      <c r="B3" s="1726" t="s">
        <v>1429</v>
      </c>
      <c r="C3" s="1726"/>
      <c r="D3" s="1727"/>
      <c r="E3" s="580" t="s">
        <v>315</v>
      </c>
      <c r="F3" s="88" t="s">
        <v>1419</v>
      </c>
      <c r="G3" s="1725" t="s">
        <v>1316</v>
      </c>
      <c r="H3" s="1725"/>
      <c r="I3" s="1725"/>
      <c r="J3" s="303"/>
      <c r="K3" s="576" t="s">
        <v>316</v>
      </c>
      <c r="L3" s="581" t="s">
        <v>317</v>
      </c>
      <c r="M3" s="303"/>
      <c r="N3" s="303"/>
      <c r="O3" s="303"/>
      <c r="P3" s="303"/>
      <c r="Q3" s="303"/>
      <c r="R3" s="303"/>
      <c r="S3" s="303"/>
      <c r="T3" s="303"/>
      <c r="U3" s="303"/>
      <c r="V3" s="303"/>
    </row>
    <row r="4" spans="1:22" ht="12" customHeight="1">
      <c r="A4" s="579" t="str">
        <f>IF(OR(I2="Proposed",I2=0),K1,IF(I2="Adopted",L2,K2))</f>
        <v>proposed by the Governing Board on,</v>
      </c>
      <c r="C4" s="1062" t="str">
        <f>IF(ISNUMBER(SEARCH("Revised*",I2)),Cover!E15,IF(ISNUMBER(SEARCH("Proposed*",I2)),Cover!E13,IF(ISNUMBER(SEARCH("Adopted*",I2)),Cover!E14,"")))</f>
        <v>June 30, 2026</v>
      </c>
      <c r="D4" s="1728" t="str">
        <f>IF(OR(I2="Proposed",I2=0),K3,IF(I2="Adopted",L3,K4))</f>
        <v>, and that the complete Proposed Expenditure Budget may be reviewed by contacting</v>
      </c>
      <c r="E4" s="1728">
        <f>IF(ISNUMBER(SEARCH("Revised*",M2)),O2,O1)</f>
        <v>0</v>
      </c>
      <c r="F4" s="1728">
        <f>IF(ISNUMBER(SEARCH("Revised*",N2)),P2,P1)</f>
        <v>0</v>
      </c>
      <c r="G4" s="1728">
        <f>IF(ISNUMBER(SEARCH("Revised*",O2)),Q2,Q1)</f>
        <v>0</v>
      </c>
      <c r="H4" s="1728">
        <f>IF(ISNUMBER(SEARCH("Revised*",P2)),R2,R1)</f>
        <v>0</v>
      </c>
      <c r="I4" s="1728">
        <f>IF(ISNUMBER(SEARCH("Revised*",Q2)),S2,S1)</f>
        <v>0</v>
      </c>
      <c r="J4" s="303"/>
      <c r="K4" s="576" t="s">
        <v>318</v>
      </c>
      <c r="L4" s="582"/>
      <c r="M4" s="303"/>
      <c r="N4" s="303"/>
      <c r="O4" s="303"/>
      <c r="P4" s="303"/>
      <c r="Q4" s="303"/>
      <c r="R4" s="303"/>
      <c r="S4" s="303"/>
      <c r="T4" s="303"/>
      <c r="U4" s="303"/>
      <c r="V4" s="303"/>
    </row>
    <row r="5" spans="1:22" ht="12" customHeight="1">
      <c r="A5" s="32" t="s">
        <v>1423</v>
      </c>
      <c r="B5" s="1731" t="s">
        <v>1011</v>
      </c>
      <c r="C5" s="1732"/>
      <c r="D5" s="1739" t="s">
        <v>1430</v>
      </c>
      <c r="E5" s="1727"/>
      <c r="F5" s="1728" t="s">
        <v>319</v>
      </c>
      <c r="G5" s="1728"/>
      <c r="H5" s="1728"/>
      <c r="I5" s="1730" t="str">
        <f>IF(I10&lt;1,"Enter average salaries on Budget Cover","")</f>
        <v/>
      </c>
      <c r="K5" s="1733" t="str">
        <f>IF(AND(ISNUMBER(SEARCH("Revised*",I2)),Cover!E15=""),"Enter revised date on Budget Cover",IF(AND(ISNUMBER(SEARCH("Proposed*",I2)),Cover!E13=""),"Enter proposed date on Budget Cover",""))</f>
        <v/>
      </c>
      <c r="L5" s="303"/>
      <c r="M5" s="303"/>
      <c r="N5" s="303"/>
      <c r="O5" s="303"/>
      <c r="P5" s="303"/>
      <c r="Q5" s="303"/>
      <c r="R5" s="303"/>
      <c r="S5" s="303"/>
      <c r="T5" s="303"/>
      <c r="U5" s="303"/>
      <c r="V5" s="303"/>
    </row>
    <row r="6" spans="1:22" ht="11.4">
      <c r="A6" s="583"/>
      <c r="B6" s="583"/>
      <c r="C6" s="584"/>
      <c r="D6" s="584"/>
      <c r="E6" s="1729"/>
      <c r="F6" s="1729"/>
      <c r="G6" s="1729"/>
      <c r="H6" s="583"/>
      <c r="I6" s="1730"/>
      <c r="J6" s="585"/>
      <c r="K6" s="1733"/>
      <c r="L6" s="303"/>
      <c r="M6" s="303"/>
      <c r="N6" s="303"/>
      <c r="O6" s="303"/>
      <c r="P6" s="303"/>
      <c r="Q6" s="303"/>
      <c r="R6" s="303"/>
      <c r="S6" s="303"/>
      <c r="T6" s="303"/>
      <c r="U6" s="303"/>
      <c r="V6" s="303"/>
    </row>
    <row r="7" spans="1:22" ht="13.2">
      <c r="A7" s="1470" t="s">
        <v>682</v>
      </c>
      <c r="C7" s="584"/>
      <c r="D7" s="584"/>
      <c r="E7" s="1748" t="s">
        <v>320</v>
      </c>
      <c r="F7" s="1748"/>
      <c r="G7" s="1748"/>
      <c r="H7" s="583"/>
      <c r="I7" s="1730"/>
      <c r="J7" s="585"/>
      <c r="K7" s="1733"/>
      <c r="L7" s="303"/>
      <c r="M7" s="303"/>
      <c r="N7" s="303"/>
      <c r="O7" s="303"/>
      <c r="P7" s="303"/>
      <c r="Q7" s="303"/>
      <c r="R7" s="303"/>
      <c r="S7" s="303"/>
      <c r="T7" s="303"/>
      <c r="U7" s="303"/>
      <c r="V7" s="303"/>
    </row>
    <row r="8" spans="1:22" ht="6" customHeight="1">
      <c r="A8" s="586"/>
      <c r="B8" s="586"/>
      <c r="C8" s="586"/>
      <c r="D8" s="586"/>
      <c r="E8" s="586"/>
      <c r="F8" s="586"/>
      <c r="G8" s="583"/>
      <c r="H8" s="583"/>
      <c r="I8" s="583"/>
      <c r="J8" s="303"/>
      <c r="K8" s="303"/>
      <c r="L8" s="303"/>
      <c r="M8" s="303"/>
      <c r="N8" s="303"/>
      <c r="O8" s="303"/>
      <c r="P8" s="303"/>
      <c r="Q8" s="303"/>
      <c r="R8" s="303"/>
      <c r="S8" s="303"/>
      <c r="T8" s="303"/>
      <c r="U8" s="303"/>
      <c r="V8" s="303"/>
    </row>
    <row r="9" spans="1:22" ht="11.25" customHeight="1">
      <c r="A9" s="587" t="s">
        <v>1107</v>
      </c>
      <c r="B9" s="588"/>
      <c r="C9" s="1184" t="s">
        <v>321</v>
      </c>
      <c r="D9" s="1185" t="s">
        <v>322</v>
      </c>
      <c r="E9" s="589" t="s">
        <v>323</v>
      </c>
      <c r="F9" s="590"/>
      <c r="G9" s="591"/>
      <c r="H9" s="591"/>
      <c r="I9" s="592"/>
      <c r="J9" s="303"/>
      <c r="K9" s="303"/>
      <c r="L9" s="303"/>
      <c r="M9" s="303"/>
      <c r="N9" s="303"/>
      <c r="O9" s="303"/>
      <c r="P9" s="303"/>
      <c r="Q9" s="303"/>
      <c r="R9" s="303"/>
      <c r="S9" s="303"/>
      <c r="T9" s="303"/>
      <c r="U9" s="303"/>
      <c r="V9" s="303"/>
    </row>
    <row r="10" spans="1:22" ht="10.5" customHeight="1">
      <c r="A10" s="593"/>
      <c r="B10" s="1183" t="s">
        <v>1317</v>
      </c>
      <c r="C10" s="1183" t="s">
        <v>1318</v>
      </c>
      <c r="D10" s="1182" t="s">
        <v>1319</v>
      </c>
      <c r="E10" s="1181" t="s">
        <v>1320</v>
      </c>
      <c r="F10" s="594"/>
      <c r="G10" s="595"/>
      <c r="H10" s="96"/>
      <c r="I10" s="596">
        <f>BudgetYearSalary</f>
        <v>79135</v>
      </c>
      <c r="J10" s="303"/>
      <c r="K10" s="303"/>
      <c r="L10" s="303"/>
      <c r="M10" s="303"/>
      <c r="N10" s="303"/>
      <c r="O10" s="303"/>
      <c r="P10" s="303"/>
      <c r="Q10" s="303"/>
      <c r="R10" s="303"/>
      <c r="S10" s="303"/>
      <c r="T10" s="303"/>
      <c r="U10" s="303"/>
      <c r="V10" s="303"/>
    </row>
    <row r="11" spans="1:22" ht="10.5" customHeight="1">
      <c r="A11" s="1744" t="s">
        <v>324</v>
      </c>
      <c r="B11" s="597"/>
      <c r="C11" s="597"/>
      <c r="D11" s="598"/>
      <c r="E11" s="1181" t="s">
        <v>1321</v>
      </c>
      <c r="F11" s="594"/>
      <c r="G11" s="595"/>
      <c r="H11" s="96"/>
      <c r="I11" s="596">
        <f>PriorYearSalary</f>
        <v>79135</v>
      </c>
      <c r="J11" s="303"/>
      <c r="K11" s="303"/>
      <c r="M11" s="599"/>
      <c r="N11" s="303"/>
      <c r="O11" s="303"/>
      <c r="P11" s="303"/>
      <c r="Q11" s="303"/>
      <c r="R11" s="303"/>
      <c r="S11" s="303"/>
      <c r="T11" s="303"/>
      <c r="U11" s="303"/>
      <c r="V11" s="303"/>
    </row>
    <row r="12" spans="1:22" ht="11.25" customHeight="1">
      <c r="A12" s="1745"/>
      <c r="B12" s="1066">
        <v>187.42509999999999</v>
      </c>
      <c r="C12" s="1066">
        <v>190.6583</v>
      </c>
      <c r="D12" s="1067">
        <v>190.6583</v>
      </c>
      <c r="E12" s="600" t="s">
        <v>325</v>
      </c>
      <c r="F12" s="594"/>
      <c r="G12" s="595"/>
      <c r="H12" s="96"/>
      <c r="I12" s="601">
        <f>SalaryIncrease</f>
        <v>0</v>
      </c>
      <c r="J12" s="303"/>
      <c r="K12" s="303"/>
      <c r="L12" s="303"/>
      <c r="M12" s="303"/>
      <c r="N12" s="303"/>
      <c r="O12" s="303"/>
      <c r="P12" s="303"/>
      <c r="Q12" s="303"/>
      <c r="R12" s="303"/>
      <c r="S12" s="303"/>
      <c r="T12" s="303"/>
      <c r="U12" s="303"/>
      <c r="V12" s="303"/>
    </row>
    <row r="13" spans="1:22" ht="10.5" customHeight="1">
      <c r="A13" s="602" t="s">
        <v>1108</v>
      </c>
      <c r="B13" s="603"/>
      <c r="C13" s="1295" t="s">
        <v>129</v>
      </c>
      <c r="D13" s="1296" t="s">
        <v>326</v>
      </c>
      <c r="E13" s="600" t="s">
        <v>327</v>
      </c>
      <c r="F13" s="594"/>
      <c r="G13" s="595"/>
      <c r="H13" s="96"/>
      <c r="I13" s="604">
        <f>PercentageIncrease</f>
        <v>0</v>
      </c>
      <c r="J13" s="303"/>
      <c r="K13" s="303"/>
      <c r="L13" s="303"/>
      <c r="M13" s="303"/>
      <c r="N13" s="303"/>
      <c r="O13" s="303"/>
      <c r="P13" s="303"/>
      <c r="Q13" s="303"/>
      <c r="R13" s="303"/>
      <c r="S13" s="303"/>
      <c r="T13" s="303"/>
      <c r="U13" s="303"/>
      <c r="V13" s="303"/>
    </row>
    <row r="14" spans="1:22" ht="10.5" customHeight="1">
      <c r="A14" s="1746" t="s">
        <v>328</v>
      </c>
      <c r="B14" s="1747"/>
      <c r="C14" s="1112"/>
      <c r="D14" s="1112"/>
      <c r="E14" s="1111"/>
      <c r="I14" s="605"/>
      <c r="J14" s="303"/>
      <c r="K14" s="584"/>
      <c r="P14" s="303"/>
      <c r="Q14" s="303"/>
      <c r="R14" s="303"/>
      <c r="S14" s="303"/>
      <c r="T14" s="303"/>
      <c r="U14" s="303"/>
      <c r="V14" s="303"/>
    </row>
    <row r="15" spans="1:22" ht="10.5" customHeight="1">
      <c r="A15" s="1746"/>
      <c r="B15" s="1747"/>
      <c r="C15" s="1113"/>
      <c r="D15" s="1114"/>
      <c r="E15" s="1749" t="str">
        <f>IF(SalaryComments="","",SalaryComments)</f>
        <v xml:space="preserve">Comments on average salary calculation (optional): </v>
      </c>
      <c r="F15" s="1749"/>
      <c r="G15" s="1749"/>
      <c r="H15" s="1749"/>
      <c r="I15" s="1750"/>
      <c r="J15" s="303"/>
      <c r="K15" s="606"/>
      <c r="P15" s="303"/>
      <c r="Q15" s="303"/>
      <c r="R15" s="303"/>
      <c r="S15" s="303"/>
      <c r="T15" s="303"/>
      <c r="U15" s="303"/>
      <c r="V15" s="303"/>
    </row>
    <row r="16" spans="1:22" ht="9.75" customHeight="1">
      <c r="A16" s="1746"/>
      <c r="B16" s="1747"/>
      <c r="C16" s="1186">
        <f>PrimTaxRateCurrFY</f>
        <v>0</v>
      </c>
      <c r="D16" s="1187">
        <f>EstTaxRateBudgFY</f>
        <v>0</v>
      </c>
      <c r="E16" s="1751"/>
      <c r="F16" s="1751"/>
      <c r="G16" s="1751"/>
      <c r="H16" s="1751"/>
      <c r="I16" s="1752"/>
      <c r="J16" s="303"/>
      <c r="K16" s="606"/>
      <c r="P16" s="303"/>
      <c r="Q16" s="303"/>
      <c r="R16" s="303"/>
      <c r="S16" s="303"/>
      <c r="T16" s="303"/>
      <c r="U16" s="303"/>
      <c r="V16" s="303"/>
    </row>
    <row r="17" spans="1:22" ht="9.75" customHeight="1">
      <c r="A17" s="1740" t="s">
        <v>1109</v>
      </c>
      <c r="B17" s="1741"/>
      <c r="C17" s="1112"/>
      <c r="D17" s="1112"/>
      <c r="E17" s="1751"/>
      <c r="F17" s="1751"/>
      <c r="G17" s="1751"/>
      <c r="H17" s="1751"/>
      <c r="I17" s="1752"/>
      <c r="J17" s="303"/>
      <c r="K17" s="606"/>
      <c r="P17" s="303"/>
      <c r="Q17" s="303"/>
      <c r="R17" s="303"/>
      <c r="S17" s="303"/>
      <c r="T17" s="303"/>
      <c r="U17" s="303"/>
      <c r="V17" s="303"/>
    </row>
    <row r="18" spans="1:22" ht="11.25" customHeight="1">
      <c r="A18" s="1740"/>
      <c r="B18" s="1741"/>
      <c r="C18" s="1114"/>
      <c r="D18" s="1114"/>
      <c r="E18" s="1751"/>
      <c r="F18" s="1751"/>
      <c r="G18" s="1751"/>
      <c r="H18" s="1751"/>
      <c r="I18" s="1752"/>
      <c r="J18" s="303"/>
      <c r="K18" s="303"/>
      <c r="P18" s="303"/>
      <c r="Q18" s="303"/>
      <c r="R18" s="303"/>
      <c r="S18" s="303"/>
      <c r="T18" s="303"/>
      <c r="U18" s="303"/>
      <c r="V18" s="303"/>
    </row>
    <row r="19" spans="1:22" ht="11.25" customHeight="1">
      <c r="A19" s="1742"/>
      <c r="B19" s="1743"/>
      <c r="C19" s="1187">
        <f>TotSecTaxRateCurrFY</f>
        <v>0</v>
      </c>
      <c r="D19" s="1187">
        <f>TotSecTaxRateBudgFY</f>
        <v>0</v>
      </c>
      <c r="E19" s="1751"/>
      <c r="F19" s="1751"/>
      <c r="G19" s="1751"/>
      <c r="H19" s="1751"/>
      <c r="I19" s="1752"/>
      <c r="J19" s="303"/>
      <c r="K19" s="303"/>
      <c r="L19" s="303"/>
      <c r="M19" s="303"/>
      <c r="N19" s="303"/>
      <c r="O19" s="303"/>
      <c r="P19" s="303"/>
      <c r="Q19" s="303"/>
      <c r="R19" s="303"/>
      <c r="S19" s="303"/>
      <c r="T19" s="303"/>
      <c r="U19" s="303"/>
      <c r="V19" s="303"/>
    </row>
    <row r="20" spans="1:22" ht="10.5" customHeight="1">
      <c r="A20" s="602" t="s">
        <v>1012</v>
      </c>
      <c r="B20" s="1737" t="s">
        <v>1024</v>
      </c>
      <c r="C20" s="1757" t="s">
        <v>1045</v>
      </c>
      <c r="D20" s="1759" t="s">
        <v>1046</v>
      </c>
      <c r="E20" s="1753"/>
      <c r="F20" s="1751"/>
      <c r="G20" s="1751"/>
      <c r="H20" s="1751"/>
      <c r="I20" s="1752"/>
      <c r="J20" s="303"/>
      <c r="K20" s="303"/>
      <c r="L20" s="303"/>
      <c r="M20" s="303"/>
      <c r="N20" s="303"/>
      <c r="O20" s="303"/>
      <c r="P20" s="303"/>
      <c r="Q20" s="303"/>
      <c r="R20" s="303"/>
      <c r="S20" s="303"/>
      <c r="T20" s="303"/>
      <c r="U20" s="303"/>
      <c r="V20" s="303"/>
    </row>
    <row r="21" spans="1:22" ht="10.5" customHeight="1">
      <c r="A21" s="607"/>
      <c r="B21" s="1738"/>
      <c r="C21" s="1758"/>
      <c r="D21" s="1760"/>
      <c r="E21" s="1753"/>
      <c r="F21" s="1751"/>
      <c r="G21" s="1751"/>
      <c r="H21" s="1751"/>
      <c r="I21" s="1752"/>
      <c r="J21" s="303"/>
      <c r="K21" s="303"/>
      <c r="L21" s="303"/>
      <c r="M21" s="303"/>
      <c r="N21" s="303"/>
      <c r="O21" s="303"/>
      <c r="P21" s="303"/>
      <c r="Q21" s="303"/>
      <c r="R21" s="303"/>
      <c r="S21" s="303"/>
      <c r="T21" s="303"/>
      <c r="U21" s="303"/>
      <c r="V21" s="303"/>
    </row>
    <row r="22" spans="1:22" ht="10.5" customHeight="1">
      <c r="A22" s="586" t="s">
        <v>329</v>
      </c>
      <c r="B22" s="608">
        <f>F001TotalExp</f>
        <v>6718232</v>
      </c>
      <c r="C22" s="608">
        <f>F001Carryforward</f>
        <v>953984</v>
      </c>
      <c r="D22" s="609">
        <f>GBLBudgFY</f>
        <v>7823677</v>
      </c>
      <c r="E22" s="1753"/>
      <c r="F22" s="1751"/>
      <c r="G22" s="1751"/>
      <c r="H22" s="1751"/>
      <c r="I22" s="1752"/>
      <c r="J22" s="303"/>
      <c r="K22" s="303"/>
      <c r="L22" s="303"/>
      <c r="M22" s="303"/>
      <c r="N22" s="303"/>
      <c r="O22" s="303"/>
      <c r="P22" s="303"/>
      <c r="Q22" s="303"/>
      <c r="R22" s="303"/>
      <c r="S22" s="303"/>
      <c r="T22" s="303"/>
      <c r="U22" s="303"/>
      <c r="V22" s="303"/>
    </row>
    <row r="23" spans="1:22" ht="10.5" customHeight="1">
      <c r="A23" s="586" t="s">
        <v>330</v>
      </c>
      <c r="B23" s="610">
        <f>F010TotalExp</f>
        <v>265000</v>
      </c>
      <c r="C23" s="610">
        <f>F010Carryforward</f>
        <v>419002</v>
      </c>
      <c r="D23" s="611">
        <f>'Page 3'!CSFBLBudgFY</f>
        <v>684002</v>
      </c>
      <c r="E23" s="1753"/>
      <c r="F23" s="1751"/>
      <c r="G23" s="1751"/>
      <c r="H23" s="1751"/>
      <c r="I23" s="1752"/>
      <c r="J23" s="303"/>
      <c r="K23" s="303"/>
      <c r="L23" s="303"/>
      <c r="M23" s="303"/>
      <c r="N23" s="303"/>
      <c r="O23" s="303"/>
      <c r="P23" s="303"/>
      <c r="Q23" s="303"/>
      <c r="R23" s="303"/>
      <c r="S23" s="303"/>
      <c r="T23" s="303"/>
      <c r="U23" s="303"/>
      <c r="V23" s="303"/>
    </row>
    <row r="24" spans="1:22" ht="10.5" customHeight="1">
      <c r="A24" s="1430" t="s">
        <v>331</v>
      </c>
      <c r="B24" s="612">
        <f>F610TotalBudgFY</f>
        <v>695200</v>
      </c>
      <c r="C24" s="612">
        <f>F610Carryforward</f>
        <v>1129153</v>
      </c>
      <c r="D24" s="612">
        <f>UCBLBudgFY</f>
        <v>1824353</v>
      </c>
      <c r="E24" s="1754"/>
      <c r="F24" s="1755"/>
      <c r="G24" s="1755"/>
      <c r="H24" s="1755"/>
      <c r="I24" s="1756"/>
      <c r="J24" s="303"/>
      <c r="K24" s="303"/>
      <c r="L24" s="303"/>
      <c r="M24" s="303"/>
      <c r="N24" s="303"/>
      <c r="O24" s="303"/>
      <c r="P24" s="303"/>
      <c r="Q24" s="303"/>
      <c r="R24" s="303"/>
      <c r="S24" s="303"/>
      <c r="T24" s="303"/>
      <c r="U24" s="303"/>
      <c r="V24" s="303"/>
    </row>
    <row r="25" spans="1:22" ht="9" customHeight="1">
      <c r="B25" s="1270"/>
      <c r="C25" s="613"/>
      <c r="J25" s="303"/>
      <c r="K25" s="303"/>
      <c r="L25" s="303"/>
      <c r="M25" s="303"/>
      <c r="N25" s="303"/>
      <c r="O25" s="303"/>
      <c r="P25" s="303"/>
      <c r="Q25" s="303"/>
      <c r="R25" s="303"/>
      <c r="S25" s="303"/>
      <c r="T25" s="303"/>
      <c r="U25" s="303"/>
      <c r="V25" s="303"/>
    </row>
    <row r="26" spans="1:22" ht="8.25" customHeight="1">
      <c r="A26" s="614"/>
      <c r="B26" s="614"/>
      <c r="C26" s="615"/>
      <c r="D26" s="615"/>
      <c r="E26" s="615"/>
      <c r="F26" s="615"/>
      <c r="G26" s="615"/>
      <c r="H26" s="615"/>
      <c r="I26" s="616"/>
      <c r="J26" s="303"/>
      <c r="K26" s="303"/>
      <c r="L26" s="303"/>
      <c r="M26" s="303"/>
      <c r="N26" s="303"/>
      <c r="O26" s="303"/>
      <c r="P26" s="303"/>
      <c r="Q26" s="303"/>
      <c r="R26" s="303"/>
      <c r="S26" s="303"/>
      <c r="T26" s="303"/>
      <c r="U26" s="303"/>
      <c r="V26" s="303"/>
    </row>
    <row r="27" spans="1:22" ht="11.4">
      <c r="A27" s="1734" t="s">
        <v>1110</v>
      </c>
      <c r="B27" s="1735"/>
      <c r="C27" s="1735"/>
      <c r="D27" s="1735"/>
      <c r="E27" s="1735"/>
      <c r="F27" s="1735"/>
      <c r="G27" s="1735"/>
      <c r="H27" s="1735"/>
      <c r="I27" s="1736"/>
      <c r="J27" s="303"/>
      <c r="K27" s="303"/>
      <c r="L27" s="303"/>
      <c r="M27" s="303"/>
      <c r="N27" s="303"/>
      <c r="O27" s="303"/>
      <c r="P27" s="303"/>
      <c r="Q27" s="303"/>
      <c r="R27" s="303"/>
      <c r="S27" s="303"/>
      <c r="T27" s="303"/>
      <c r="U27" s="303"/>
      <c r="V27" s="303"/>
    </row>
    <row r="28" spans="1:22" ht="11.4">
      <c r="A28" s="593"/>
      <c r="B28" s="617"/>
      <c r="C28" s="618"/>
      <c r="D28" s="619"/>
      <c r="E28" s="620"/>
      <c r="F28" s="621"/>
      <c r="G28" s="622" t="s">
        <v>42</v>
      </c>
      <c r="H28" s="623"/>
      <c r="I28" s="624" t="s">
        <v>332</v>
      </c>
      <c r="J28" s="303"/>
      <c r="K28" s="303"/>
      <c r="L28" s="303"/>
      <c r="M28" s="303"/>
      <c r="N28" s="303"/>
      <c r="O28" s="303"/>
      <c r="P28" s="303"/>
      <c r="Q28" s="303"/>
      <c r="R28" s="303"/>
      <c r="S28" s="303"/>
      <c r="T28" s="303"/>
      <c r="U28" s="303"/>
      <c r="V28" s="303"/>
    </row>
    <row r="29" spans="1:22" ht="11.4">
      <c r="A29" s="593"/>
      <c r="B29" s="586"/>
      <c r="C29" s="625" t="s">
        <v>1111</v>
      </c>
      <c r="D29" s="626"/>
      <c r="E29" s="627" t="s">
        <v>83</v>
      </c>
      <c r="F29" s="628"/>
      <c r="G29" s="626" t="s">
        <v>333</v>
      </c>
      <c r="H29" s="629"/>
      <c r="I29" s="630" t="s">
        <v>334</v>
      </c>
      <c r="J29" s="303"/>
      <c r="K29" s="303"/>
      <c r="L29" s="303"/>
      <c r="M29" s="303"/>
      <c r="N29" s="303"/>
      <c r="O29" s="303"/>
      <c r="P29" s="303"/>
      <c r="Q29" s="303"/>
      <c r="R29" s="303"/>
      <c r="S29" s="303"/>
      <c r="T29" s="303"/>
      <c r="U29" s="303"/>
      <c r="V29" s="303"/>
    </row>
    <row r="30" spans="1:22" ht="11.4">
      <c r="A30" s="593"/>
      <c r="B30" s="586"/>
      <c r="C30" s="624" t="s">
        <v>129</v>
      </c>
      <c r="D30" s="624" t="s">
        <v>130</v>
      </c>
      <c r="E30" s="630" t="s">
        <v>129</v>
      </c>
      <c r="F30" s="630" t="s">
        <v>130</v>
      </c>
      <c r="G30" s="624" t="s">
        <v>129</v>
      </c>
      <c r="H30" s="624" t="s">
        <v>130</v>
      </c>
      <c r="I30" s="630" t="s">
        <v>1112</v>
      </c>
      <c r="J30" s="303"/>
      <c r="K30" s="303"/>
      <c r="L30" s="303"/>
      <c r="M30" s="303"/>
      <c r="N30" s="303"/>
      <c r="O30" s="303"/>
      <c r="P30" s="303"/>
      <c r="Q30" s="303"/>
      <c r="R30" s="303"/>
      <c r="S30" s="303"/>
      <c r="T30" s="303"/>
      <c r="U30" s="303"/>
      <c r="V30" s="303"/>
    </row>
    <row r="31" spans="1:22" ht="7.5" customHeight="1">
      <c r="A31" s="593"/>
      <c r="B31" s="586"/>
      <c r="C31" s="1115"/>
      <c r="D31" s="1115"/>
      <c r="E31" s="1115"/>
      <c r="F31" s="1115"/>
      <c r="G31" s="1115"/>
      <c r="H31" s="1115"/>
      <c r="I31" s="1115"/>
      <c r="J31" s="303"/>
      <c r="K31" s="303"/>
      <c r="L31" s="303"/>
      <c r="M31" s="303"/>
      <c r="N31" s="303"/>
      <c r="O31" s="303"/>
      <c r="P31" s="303"/>
      <c r="Q31" s="303"/>
      <c r="R31" s="303"/>
      <c r="S31" s="303"/>
      <c r="T31" s="303"/>
      <c r="U31" s="303"/>
      <c r="V31" s="303"/>
    </row>
    <row r="32" spans="1:22" ht="12.75" customHeight="1">
      <c r="A32" s="607" t="s">
        <v>1013</v>
      </c>
      <c r="B32" s="586"/>
      <c r="C32" s="1112"/>
      <c r="D32" s="1112"/>
      <c r="E32" s="1112"/>
      <c r="F32" s="1112"/>
      <c r="G32" s="1112"/>
      <c r="H32" s="1112"/>
      <c r="I32" s="1112"/>
      <c r="J32" s="303"/>
      <c r="K32" s="303"/>
      <c r="L32" s="303"/>
      <c r="M32" s="303"/>
      <c r="N32" s="303"/>
      <c r="O32" s="303"/>
      <c r="P32" s="303"/>
      <c r="Q32" s="303"/>
      <c r="R32" s="303"/>
      <c r="S32" s="303"/>
      <c r="T32" s="303"/>
      <c r="U32" s="303"/>
      <c r="V32" s="303"/>
    </row>
    <row r="33" spans="1:22" ht="12.75" customHeight="1">
      <c r="A33" s="607" t="s">
        <v>96</v>
      </c>
      <c r="B33" s="586"/>
      <c r="C33" s="1188">
        <f>[1]!F001P100F1000SBBudgFY</f>
        <v>2413763</v>
      </c>
      <c r="D33" s="1188">
        <f>F001P100F1000O6100+F001P100F1000O6200</f>
        <v>2413763</v>
      </c>
      <c r="E33" s="1188">
        <f>[1]!F001P100F1000OthBudgFY</f>
        <v>238000</v>
      </c>
      <c r="F33" s="1188">
        <f>F001P100F1000O630064006500+F001P100F1000O6600+F001P100F1000O6800</f>
        <v>238000</v>
      </c>
      <c r="G33" s="1188">
        <f>C33+E33</f>
        <v>2651763</v>
      </c>
      <c r="H33" s="1188">
        <f>D33+F33</f>
        <v>2651763</v>
      </c>
      <c r="I33" s="1189">
        <f>IF(G33=H33,0,IF(G33&gt;0,(H33-G33)/G33,""))</f>
        <v>0</v>
      </c>
      <c r="J33" s="303"/>
      <c r="K33" s="303"/>
      <c r="L33" s="303"/>
      <c r="M33" s="303"/>
      <c r="N33" s="303"/>
      <c r="O33" s="303"/>
      <c r="P33" s="303"/>
      <c r="Q33" s="303"/>
      <c r="R33" s="303"/>
      <c r="S33" s="303"/>
      <c r="T33" s="303"/>
      <c r="U33" s="303"/>
      <c r="V33" s="303"/>
    </row>
    <row r="34" spans="1:22" ht="12.75" customHeight="1">
      <c r="A34" s="607" t="s">
        <v>951</v>
      </c>
      <c r="B34" s="586"/>
      <c r="C34" s="1190"/>
      <c r="D34" s="1190"/>
      <c r="E34" s="1190"/>
      <c r="F34" s="1190"/>
      <c r="G34" s="1190"/>
      <c r="H34" s="1190"/>
      <c r="I34" s="1190"/>
      <c r="J34" s="303"/>
      <c r="K34" s="303"/>
      <c r="L34" s="303"/>
      <c r="M34" s="303"/>
      <c r="N34" s="303"/>
      <c r="O34" s="303"/>
      <c r="P34" s="303"/>
      <c r="Q34" s="303"/>
      <c r="R34" s="303"/>
      <c r="S34" s="303"/>
      <c r="T34" s="303"/>
      <c r="U34" s="303"/>
      <c r="V34" s="303"/>
    </row>
    <row r="35" spans="1:22" ht="12.75" customHeight="1">
      <c r="A35" s="607" t="s">
        <v>97</v>
      </c>
      <c r="B35" s="632"/>
      <c r="C35" s="1188">
        <f>[1]!F001P100F2100SBBudgFY</f>
        <v>375203</v>
      </c>
      <c r="D35" s="1188">
        <f>F001P100F2100O6100+F001P100F2100O6200</f>
        <v>375203</v>
      </c>
      <c r="E35" s="1188">
        <f>[1]!F001P100F2100OthBudgFY</f>
        <v>41500</v>
      </c>
      <c r="F35" s="1188">
        <f>F001P100F2100O630064006500+F001P100F2100O6600+F001P100F2100O6800</f>
        <v>41500</v>
      </c>
      <c r="G35" s="1188">
        <f>C35+E35</f>
        <v>416703</v>
      </c>
      <c r="H35" s="1188">
        <f>D35+F35</f>
        <v>416703</v>
      </c>
      <c r="I35" s="1189">
        <f>IF(G35=H35,0,IF(G35&gt;0,(H35-G35)/G35,""))</f>
        <v>0</v>
      </c>
      <c r="J35" s="303"/>
      <c r="K35" s="303"/>
      <c r="L35" s="303"/>
      <c r="M35" s="303"/>
      <c r="N35" s="303"/>
      <c r="O35" s="303"/>
      <c r="P35" s="303"/>
      <c r="Q35" s="303"/>
      <c r="R35" s="303"/>
      <c r="S35" s="303"/>
      <c r="T35" s="303"/>
      <c r="U35" s="303"/>
      <c r="V35" s="303"/>
    </row>
    <row r="36" spans="1:22" ht="13.5" customHeight="1">
      <c r="A36" s="633" t="s">
        <v>952</v>
      </c>
      <c r="B36" s="586"/>
      <c r="C36" s="639">
        <f>[1]!F001P100F2200SBBudgFY</f>
        <v>1000</v>
      </c>
      <c r="D36" s="639">
        <f>F001P100F2200O6100+F001P100F2200O6200</f>
        <v>1000</v>
      </c>
      <c r="E36" s="639">
        <f>[1]!F001P100F2200OthBudgFY</f>
        <v>66000</v>
      </c>
      <c r="F36" s="639">
        <f>F001P100F2200O630064006500+F001P100F2200O6600+F001P100F2200O6800</f>
        <v>66000</v>
      </c>
      <c r="G36" s="639">
        <f t="shared" ref="G36:H43" si="0">C36+E36</f>
        <v>67000</v>
      </c>
      <c r="H36" s="639">
        <f t="shared" si="0"/>
        <v>67000</v>
      </c>
      <c r="I36" s="648">
        <f t="shared" ref="I36:I44" si="1">IF(G36=H36,0,IF(G36&gt;0,(H36-G36)/G36,""))</f>
        <v>0</v>
      </c>
      <c r="J36" s="303"/>
      <c r="K36" s="303"/>
      <c r="L36" s="303"/>
      <c r="M36" s="303"/>
      <c r="N36" s="303"/>
      <c r="O36" s="303"/>
      <c r="P36" s="303"/>
      <c r="Q36" s="303"/>
      <c r="R36" s="303"/>
      <c r="S36" s="303"/>
      <c r="T36" s="303"/>
      <c r="U36" s="303"/>
      <c r="V36" s="303"/>
    </row>
    <row r="37" spans="1:22" ht="13.5" customHeight="1">
      <c r="A37" s="633" t="s">
        <v>335</v>
      </c>
      <c r="B37" s="637"/>
      <c r="C37" s="640">
        <f>[1]!F001P100F230024002500SBBudgFY</f>
        <v>779304</v>
      </c>
      <c r="D37" s="639">
        <f>F001P100F2300O6100+F001P100F2400O6100+F001P100F2500O6100+F001P100F2300O6200+F001P100F2400O6200+F001P100F2500O6200</f>
        <v>779304</v>
      </c>
      <c r="E37" s="640">
        <f>[1]!F001P100F230024002500OthBudgFY</f>
        <v>185500</v>
      </c>
      <c r="F37" s="639">
        <f>F001P100F2300O630064006500+F001P100F2300O6600+F001P100F2300O6800+F001P100F2400O630064006500+F001P100F2400O6600+F001P100F2400O6800+F001P100F2500O630064006500+F001P100F2500O6600+F001P100F2500O6800</f>
        <v>185500</v>
      </c>
      <c r="G37" s="640">
        <f t="shared" si="0"/>
        <v>964804</v>
      </c>
      <c r="H37" s="639">
        <f t="shared" si="0"/>
        <v>964804</v>
      </c>
      <c r="I37" s="646">
        <f t="shared" si="1"/>
        <v>0</v>
      </c>
      <c r="J37" s="303"/>
      <c r="K37" s="303"/>
      <c r="L37" s="303"/>
      <c r="M37" s="303"/>
      <c r="N37" s="303"/>
      <c r="O37" s="303"/>
      <c r="P37" s="303"/>
      <c r="Q37" s="303"/>
      <c r="R37" s="303"/>
      <c r="S37" s="303"/>
      <c r="T37" s="303"/>
      <c r="U37" s="303"/>
      <c r="V37" s="303"/>
    </row>
    <row r="38" spans="1:22" ht="12.75" customHeight="1">
      <c r="A38" s="633" t="s">
        <v>1014</v>
      </c>
      <c r="B38" s="638"/>
      <c r="C38" s="640">
        <f>[1]!F001P100F2600SBBudgFY</f>
        <v>505494</v>
      </c>
      <c r="D38" s="639">
        <f>F001P100F2600O6100+F001P100F2600O6200</f>
        <v>505494</v>
      </c>
      <c r="E38" s="640">
        <f>[1]!F001P100F2600OthBudgFY</f>
        <v>853000</v>
      </c>
      <c r="F38" s="640">
        <f>F001P100F2600O630064006500+F001P100F2600O6600+F001P100F2600O6800</f>
        <v>853000</v>
      </c>
      <c r="G38" s="640">
        <f t="shared" si="0"/>
        <v>1358494</v>
      </c>
      <c r="H38" s="639">
        <f t="shared" si="0"/>
        <v>1358494</v>
      </c>
      <c r="I38" s="646">
        <f t="shared" si="1"/>
        <v>0</v>
      </c>
      <c r="J38" s="303"/>
      <c r="K38" s="303"/>
      <c r="L38" s="303"/>
      <c r="M38" s="303"/>
      <c r="N38" s="303"/>
      <c r="O38" s="303"/>
      <c r="P38" s="303"/>
      <c r="Q38" s="303"/>
      <c r="R38" s="303"/>
      <c r="S38" s="303"/>
      <c r="T38" s="303"/>
      <c r="U38" s="303"/>
      <c r="V38" s="303"/>
    </row>
    <row r="39" spans="1:22" ht="13.5" customHeight="1">
      <c r="A39" s="607" t="s">
        <v>336</v>
      </c>
      <c r="B39" s="586"/>
      <c r="C39" s="640">
        <f>[1]!F001P100F2900SBBudgFY</f>
        <v>0</v>
      </c>
      <c r="D39" s="639">
        <f>F001P100F2900O6100+F001P100F2900O6200</f>
        <v>0</v>
      </c>
      <c r="E39" s="640">
        <f>[1]!F001P100F2900OthBudgFY</f>
        <v>0</v>
      </c>
      <c r="F39" s="640">
        <f>F001P100F2900O630064006500+F001P100F2900O6600+F001P100F2900O6800</f>
        <v>0</v>
      </c>
      <c r="G39" s="640">
        <f t="shared" si="0"/>
        <v>0</v>
      </c>
      <c r="H39" s="639">
        <f t="shared" si="0"/>
        <v>0</v>
      </c>
      <c r="I39" s="646">
        <f t="shared" si="1"/>
        <v>0</v>
      </c>
      <c r="J39" s="303"/>
      <c r="K39" s="303"/>
      <c r="L39" s="303"/>
      <c r="M39" s="303"/>
      <c r="N39" s="303"/>
      <c r="O39" s="303"/>
      <c r="P39" s="303"/>
      <c r="Q39" s="303"/>
      <c r="R39" s="303"/>
      <c r="S39" s="303"/>
      <c r="T39" s="303"/>
      <c r="U39" s="303"/>
      <c r="V39" s="303"/>
    </row>
    <row r="40" spans="1:22" ht="13.5" customHeight="1">
      <c r="A40" s="607" t="s">
        <v>1015</v>
      </c>
      <c r="B40" s="586"/>
      <c r="C40" s="640">
        <f>[1]!F001P100F3000SBBudgFY</f>
        <v>173857</v>
      </c>
      <c r="D40" s="639">
        <f>F001P100F3000O6100+F001P100F3000O6200</f>
        <v>126500</v>
      </c>
      <c r="E40" s="640">
        <f>[1]!F001P100F3000OthBudgFY</f>
        <v>18500</v>
      </c>
      <c r="F40" s="640">
        <f>F001P100F3000O630064006500+F001P100F3000O6600+F001P100F3000O6800</f>
        <v>18500</v>
      </c>
      <c r="G40" s="640">
        <f t="shared" si="0"/>
        <v>192357</v>
      </c>
      <c r="H40" s="639">
        <f t="shared" si="0"/>
        <v>145000</v>
      </c>
      <c r="I40" s="646">
        <f t="shared" si="1"/>
        <v>-0.246</v>
      </c>
      <c r="J40" s="303"/>
      <c r="K40" s="303"/>
      <c r="L40" s="303"/>
      <c r="M40" s="303"/>
      <c r="N40" s="303"/>
      <c r="O40" s="303"/>
      <c r="P40" s="303"/>
      <c r="Q40" s="303"/>
      <c r="R40" s="303"/>
      <c r="S40" s="303"/>
      <c r="T40" s="303"/>
      <c r="U40" s="303"/>
      <c r="V40" s="303"/>
    </row>
    <row r="41" spans="1:22" ht="13.5" customHeight="1">
      <c r="A41" s="593" t="s">
        <v>1016</v>
      </c>
      <c r="B41" s="586"/>
      <c r="C41" s="640">
        <f>[1]!F001P610SBBudgFY</f>
        <v>0</v>
      </c>
      <c r="D41" s="639">
        <f>F001P610O6100+F001P610O6200</f>
        <v>0</v>
      </c>
      <c r="E41" s="640">
        <f>[1]!F001P610OthBudgFY</f>
        <v>0</v>
      </c>
      <c r="F41" s="640">
        <f>F001P610O630064006500+F001P610O6600+F001P610O6800</f>
        <v>0</v>
      </c>
      <c r="G41" s="640">
        <f t="shared" si="0"/>
        <v>0</v>
      </c>
      <c r="H41" s="639">
        <f t="shared" si="0"/>
        <v>0</v>
      </c>
      <c r="I41" s="646">
        <f t="shared" si="1"/>
        <v>0</v>
      </c>
      <c r="J41" s="303"/>
      <c r="K41" s="303"/>
      <c r="L41" s="303"/>
      <c r="M41" s="303"/>
      <c r="N41" s="303"/>
      <c r="O41" s="303"/>
      <c r="P41" s="303"/>
      <c r="Q41" s="303"/>
      <c r="R41" s="303"/>
      <c r="S41" s="303"/>
      <c r="T41" s="303"/>
      <c r="U41" s="303"/>
      <c r="V41" s="303"/>
    </row>
    <row r="42" spans="1:22" ht="13.5" customHeight="1">
      <c r="A42" s="593" t="s">
        <v>1017</v>
      </c>
      <c r="B42" s="586"/>
      <c r="C42" s="640">
        <f>[1]!F001P620SBBudgFY</f>
        <v>0</v>
      </c>
      <c r="D42" s="639">
        <f>F001P620O6100+F001P620O6200</f>
        <v>0</v>
      </c>
      <c r="E42" s="640">
        <f>[1]!F001P620OthBudgFY</f>
        <v>0</v>
      </c>
      <c r="F42" s="640">
        <f>F001P620O630064006500+F001P620O6600+F001P620O6800</f>
        <v>0</v>
      </c>
      <c r="G42" s="640">
        <f t="shared" si="0"/>
        <v>0</v>
      </c>
      <c r="H42" s="639">
        <f t="shared" si="0"/>
        <v>0</v>
      </c>
      <c r="I42" s="646">
        <f t="shared" si="1"/>
        <v>0</v>
      </c>
      <c r="J42" s="303"/>
      <c r="K42" s="303"/>
      <c r="L42" s="303"/>
      <c r="M42" s="303"/>
      <c r="N42" s="303"/>
      <c r="O42" s="303"/>
      <c r="P42" s="303"/>
      <c r="Q42" s="303"/>
      <c r="R42" s="303"/>
      <c r="S42" s="303"/>
      <c r="T42" s="303"/>
      <c r="U42" s="303"/>
      <c r="V42" s="303"/>
    </row>
    <row r="43" spans="1:22" ht="13.5" customHeight="1">
      <c r="A43" s="593" t="s">
        <v>1018</v>
      </c>
      <c r="B43" s="586"/>
      <c r="C43" s="640">
        <f>[1]!F001P630700800900SBBudgFY</f>
        <v>0</v>
      </c>
      <c r="D43" s="639">
        <f>F001P630O6100+F001P630O6200+F001P700800900O6100+F001P700800900O6200</f>
        <v>0</v>
      </c>
      <c r="E43" s="640">
        <f>[1]!F001P630700800900OthBudgFY</f>
        <v>0</v>
      </c>
      <c r="F43" s="640">
        <f>F001P630O630064006500+F001P630O6600+F001P630O6800+F001P700800900O630064006500+F001P700800900O6600+F001P700800900O6800</f>
        <v>0</v>
      </c>
      <c r="G43" s="640">
        <f t="shared" si="0"/>
        <v>0</v>
      </c>
      <c r="H43" s="639">
        <f t="shared" si="0"/>
        <v>0</v>
      </c>
      <c r="I43" s="646">
        <f t="shared" si="1"/>
        <v>0</v>
      </c>
      <c r="J43" s="303"/>
      <c r="K43" s="303"/>
      <c r="L43" s="303"/>
      <c r="M43" s="303"/>
      <c r="N43" s="303"/>
      <c r="O43" s="303"/>
      <c r="P43" s="303"/>
      <c r="Q43" s="303"/>
      <c r="R43" s="303"/>
      <c r="S43" s="303"/>
      <c r="T43" s="303"/>
      <c r="U43" s="303"/>
      <c r="V43" s="303"/>
    </row>
    <row r="44" spans="1:22" ht="12.75" customHeight="1">
      <c r="A44" s="641" t="s">
        <v>1019</v>
      </c>
      <c r="B44" s="617"/>
      <c r="C44" s="1191">
        <f t="shared" ref="C44:H44" si="2">SUM(C33:C43)</f>
        <v>4248621</v>
      </c>
      <c r="D44" s="1191">
        <f t="shared" si="2"/>
        <v>4201264</v>
      </c>
      <c r="E44" s="1191">
        <f t="shared" si="2"/>
        <v>1402500</v>
      </c>
      <c r="F44" s="1191">
        <f t="shared" si="2"/>
        <v>1402500</v>
      </c>
      <c r="G44" s="1191">
        <f t="shared" si="2"/>
        <v>5651121</v>
      </c>
      <c r="H44" s="1191">
        <f t="shared" si="2"/>
        <v>5603764</v>
      </c>
      <c r="I44" s="1192">
        <f t="shared" si="1"/>
        <v>-8.0000000000000002E-3</v>
      </c>
      <c r="J44" s="303"/>
      <c r="K44" s="303"/>
      <c r="L44" s="303"/>
      <c r="M44" s="303"/>
      <c r="N44" s="303"/>
      <c r="O44" s="303"/>
      <c r="P44" s="303"/>
      <c r="Q44" s="303"/>
      <c r="R44" s="303"/>
      <c r="S44" s="303"/>
      <c r="T44" s="303"/>
      <c r="U44" s="303"/>
      <c r="V44" s="303"/>
    </row>
    <row r="45" spans="1:22" ht="12.75" customHeight="1">
      <c r="A45" s="607" t="s">
        <v>961</v>
      </c>
      <c r="B45" s="586"/>
      <c r="C45" s="1190"/>
      <c r="D45" s="1190"/>
      <c r="E45" s="1190"/>
      <c r="F45" s="1190"/>
      <c r="G45" s="1190"/>
      <c r="H45" s="1190"/>
      <c r="I45" s="1190"/>
      <c r="J45" s="303"/>
      <c r="K45" s="303"/>
      <c r="L45" s="303"/>
      <c r="M45" s="303"/>
      <c r="N45" s="303"/>
      <c r="O45" s="303"/>
      <c r="P45" s="303"/>
      <c r="Q45" s="303"/>
      <c r="R45" s="303"/>
      <c r="S45" s="303"/>
      <c r="T45" s="303"/>
      <c r="U45" s="303"/>
      <c r="V45" s="303"/>
    </row>
    <row r="46" spans="1:22" ht="12.75" customHeight="1">
      <c r="A46" s="607" t="s">
        <v>96</v>
      </c>
      <c r="B46" s="586"/>
      <c r="C46" s="1188">
        <f>[1]!F001P200F1000SBBudgFY</f>
        <v>266408</v>
      </c>
      <c r="D46" s="1188">
        <f>F001P200F1000O6100+F001P200F1000O6200</f>
        <v>266408</v>
      </c>
      <c r="E46" s="1188">
        <f>[1]!F001P200F1000OthBudgFY</f>
        <v>10500</v>
      </c>
      <c r="F46" s="1188">
        <f>F001P200F1000O630064006500+F001P200F1000O6600+F001P200F1000O6800</f>
        <v>10500</v>
      </c>
      <c r="G46" s="1188">
        <f>C46+E46</f>
        <v>276908</v>
      </c>
      <c r="H46" s="1188">
        <f>D46+F46</f>
        <v>276908</v>
      </c>
      <c r="I46" s="1189">
        <f>IF(G46=H46,0,IF(G46&gt;0,(H46-G46)/G46,""))</f>
        <v>0</v>
      </c>
      <c r="J46" s="303"/>
      <c r="K46" s="303"/>
      <c r="L46" s="303"/>
      <c r="M46" s="303"/>
      <c r="N46" s="303"/>
      <c r="O46" s="303"/>
      <c r="P46" s="303"/>
      <c r="Q46" s="303"/>
      <c r="R46" s="303"/>
      <c r="S46" s="303"/>
      <c r="T46" s="303"/>
      <c r="U46" s="303"/>
      <c r="V46" s="303"/>
    </row>
    <row r="47" spans="1:22" ht="12.75" customHeight="1">
      <c r="A47" s="607" t="s">
        <v>951</v>
      </c>
      <c r="B47" s="586"/>
      <c r="C47" s="1190"/>
      <c r="D47" s="1190"/>
      <c r="E47" s="1190"/>
      <c r="F47" s="1190"/>
      <c r="G47" s="1190"/>
      <c r="H47" s="1190"/>
      <c r="I47" s="1190"/>
      <c r="J47" s="303"/>
      <c r="K47" s="303"/>
      <c r="L47" s="303"/>
      <c r="M47" s="303"/>
      <c r="N47" s="303"/>
      <c r="O47" s="303"/>
      <c r="P47" s="303"/>
      <c r="Q47" s="303"/>
      <c r="R47" s="303"/>
      <c r="S47" s="303"/>
      <c r="T47" s="303"/>
      <c r="U47" s="303"/>
      <c r="V47" s="303"/>
    </row>
    <row r="48" spans="1:22" ht="12.75" customHeight="1">
      <c r="A48" s="607" t="s">
        <v>97</v>
      </c>
      <c r="B48" s="632"/>
      <c r="C48" s="1188">
        <f>[1]!F001P200F2100SBBudgFY</f>
        <v>188461</v>
      </c>
      <c r="D48" s="1188">
        <f>F001P200F2100O6100+F001P200F2100O6200</f>
        <v>112000</v>
      </c>
      <c r="E48" s="1188">
        <f>[1]!F001P200F2100OthBudgFY</f>
        <v>92500</v>
      </c>
      <c r="F48" s="1188">
        <f>F001P200F2100O630064006500+F001P200F2100O6600+F001P200F2100O6800</f>
        <v>17500</v>
      </c>
      <c r="G48" s="1188">
        <f>C48+E48</f>
        <v>280961</v>
      </c>
      <c r="H48" s="1188">
        <f>D48+F48</f>
        <v>129500</v>
      </c>
      <c r="I48" s="1189">
        <f>IF(G48=H48,0,IF(G48&gt;0,(H48-G48)/G48,""))</f>
        <v>-0.53900000000000003</v>
      </c>
      <c r="J48" s="303"/>
      <c r="K48" s="303"/>
      <c r="L48" s="303"/>
      <c r="M48" s="303"/>
      <c r="N48" s="303"/>
      <c r="O48" s="303"/>
      <c r="P48" s="303"/>
      <c r="Q48" s="303"/>
      <c r="R48" s="303"/>
      <c r="S48" s="303"/>
      <c r="T48" s="303"/>
      <c r="U48" s="303"/>
      <c r="V48" s="303"/>
    </row>
    <row r="49" spans="1:22" ht="13.5" customHeight="1">
      <c r="A49" s="633" t="s">
        <v>952</v>
      </c>
      <c r="B49" s="586"/>
      <c r="C49" s="639">
        <f>[1]!F001P200F2200SBBudgFY</f>
        <v>0</v>
      </c>
      <c r="D49" s="639">
        <f>F001P200F2200O6100+F001P200F2200O6200</f>
        <v>0</v>
      </c>
      <c r="E49" s="639">
        <f>[1]!F001P200F2200OthBudgFY</f>
        <v>51987</v>
      </c>
      <c r="F49" s="639">
        <f>F001P200F2200O630064006500+F001P200F2200O6600+F001P200F2200O6800</f>
        <v>51987</v>
      </c>
      <c r="G49" s="639">
        <f t="shared" ref="G49:G57" si="3">C49+E49</f>
        <v>51987</v>
      </c>
      <c r="H49" s="639">
        <f t="shared" ref="H49:H57" si="4">D49+F49</f>
        <v>51987</v>
      </c>
      <c r="I49" s="648">
        <f t="shared" ref="I49:I57" si="5">IF(G49=H49,0,IF(G49&gt;0,(H49-G49)/G49,""))</f>
        <v>0</v>
      </c>
      <c r="J49" s="303"/>
      <c r="K49" s="303"/>
      <c r="L49" s="303"/>
      <c r="M49" s="303"/>
      <c r="N49" s="303"/>
      <c r="O49" s="303"/>
      <c r="P49" s="303"/>
      <c r="Q49" s="303"/>
      <c r="R49" s="303"/>
      <c r="S49" s="303"/>
      <c r="T49" s="303"/>
      <c r="U49" s="303"/>
      <c r="V49" s="303"/>
    </row>
    <row r="50" spans="1:22" ht="13.5" customHeight="1">
      <c r="A50" s="633" t="s">
        <v>335</v>
      </c>
      <c r="B50" s="637"/>
      <c r="C50" s="640">
        <f>[1]!F001P200F230024002500SBBudgFY</f>
        <v>0</v>
      </c>
      <c r="D50" s="640">
        <f>F001P200F2300O6100+F001P200F2300O6200+F001P200F2400O6100+F001P200F2400O6200+F001P200F2500O6100+F001P200F2500O6200</f>
        <v>0</v>
      </c>
      <c r="E50" s="640">
        <f>[1]!F001P200F230024002500OthBudgFY</f>
        <v>0</v>
      </c>
      <c r="F50" s="640">
        <f>F001P200F2300O630064006500+F001P200F2300O6600+F001P200F2300O6800+F001P200F2400O630064006500+F001P200F2400O6600+F001P200F2400O6800+F001P200F2500O630064006500+F001P200F2500O6600+F001P200F2500O6800</f>
        <v>0</v>
      </c>
      <c r="G50" s="640">
        <f t="shared" si="3"/>
        <v>0</v>
      </c>
      <c r="H50" s="639">
        <f t="shared" si="4"/>
        <v>0</v>
      </c>
      <c r="I50" s="646">
        <f t="shared" si="5"/>
        <v>0</v>
      </c>
      <c r="J50" s="303"/>
      <c r="K50" s="303"/>
      <c r="L50" s="303"/>
      <c r="M50" s="303"/>
      <c r="N50" s="303"/>
      <c r="O50" s="303"/>
      <c r="P50" s="303"/>
      <c r="Q50" s="303"/>
      <c r="R50" s="303"/>
      <c r="S50" s="303"/>
      <c r="T50" s="303"/>
      <c r="U50" s="303"/>
      <c r="V50" s="303"/>
    </row>
    <row r="51" spans="1:22" ht="13.5" customHeight="1">
      <c r="A51" s="633" t="s">
        <v>1014</v>
      </c>
      <c r="B51" s="638"/>
      <c r="C51" s="640">
        <f>[1]!F001P200F2600SBBudgFY</f>
        <v>0</v>
      </c>
      <c r="D51" s="640">
        <f>F001P200F2600O6100+F001P200F2600O6200</f>
        <v>0</v>
      </c>
      <c r="E51" s="640">
        <f>[1]!F001P200F2600OthBudgFY</f>
        <v>0</v>
      </c>
      <c r="F51" s="640">
        <f>F001P200F2600O630064006500+F001P200F2600O6600+F001P200F2600O6800</f>
        <v>0</v>
      </c>
      <c r="G51" s="640">
        <f t="shared" si="3"/>
        <v>0</v>
      </c>
      <c r="H51" s="639">
        <f t="shared" si="4"/>
        <v>0</v>
      </c>
      <c r="I51" s="646">
        <f t="shared" si="5"/>
        <v>0</v>
      </c>
      <c r="J51" s="303"/>
      <c r="K51" s="303"/>
      <c r="L51" s="303"/>
      <c r="M51" s="303"/>
      <c r="N51" s="303"/>
      <c r="O51" s="303"/>
      <c r="P51" s="303"/>
      <c r="Q51" s="303"/>
      <c r="R51" s="303"/>
      <c r="S51" s="303"/>
      <c r="T51" s="303"/>
      <c r="U51" s="303"/>
      <c r="V51" s="303"/>
    </row>
    <row r="52" spans="1:22" ht="13.5" customHeight="1">
      <c r="A52" s="607" t="s">
        <v>336</v>
      </c>
      <c r="B52" s="586"/>
      <c r="C52" s="640">
        <f>[1]!F001P200F2900SBBudgFY</f>
        <v>0</v>
      </c>
      <c r="D52" s="640">
        <f>F001P200F2900O6100+F001P200F2900O6200</f>
        <v>0</v>
      </c>
      <c r="E52" s="640">
        <f>[1]!F001P200F2900OthBudgFY</f>
        <v>0</v>
      </c>
      <c r="F52" s="640">
        <f>F001P200F2900O630064006500+F001P200F2900O6600+F001P200F2900O6800</f>
        <v>0</v>
      </c>
      <c r="G52" s="640">
        <f t="shared" si="3"/>
        <v>0</v>
      </c>
      <c r="H52" s="639">
        <f t="shared" si="4"/>
        <v>0</v>
      </c>
      <c r="I52" s="646">
        <f t="shared" si="5"/>
        <v>0</v>
      </c>
      <c r="J52" s="303"/>
      <c r="K52" s="303"/>
      <c r="L52" s="303"/>
      <c r="M52" s="303"/>
      <c r="N52" s="303"/>
      <c r="O52" s="303"/>
      <c r="P52" s="303"/>
      <c r="Q52" s="303"/>
      <c r="R52" s="303"/>
      <c r="S52" s="303"/>
      <c r="T52" s="303"/>
      <c r="U52" s="303"/>
      <c r="V52" s="303"/>
    </row>
    <row r="53" spans="1:22" ht="13.5" customHeight="1">
      <c r="A53" s="607" t="s">
        <v>1020</v>
      </c>
      <c r="B53" s="586"/>
      <c r="C53" s="640">
        <f>[1]!F001P200F3000SBBudgFY</f>
        <v>0</v>
      </c>
      <c r="D53" s="640">
        <f>F001P200F3000O6100+F001P200F3000O6200</f>
        <v>0</v>
      </c>
      <c r="E53" s="640">
        <f>[1]!F001P200F3000OthBudgFY</f>
        <v>0</v>
      </c>
      <c r="F53" s="640">
        <f>F001P200F3000O630064006500+F001P200F3000O6600+F001P200F3000O6800</f>
        <v>0</v>
      </c>
      <c r="G53" s="640">
        <f t="shared" si="3"/>
        <v>0</v>
      </c>
      <c r="H53" s="639">
        <f t="shared" si="4"/>
        <v>0</v>
      </c>
      <c r="I53" s="646">
        <f t="shared" si="5"/>
        <v>0</v>
      </c>
      <c r="J53" s="303"/>
      <c r="K53" s="303"/>
      <c r="L53" s="303"/>
      <c r="M53" s="303"/>
      <c r="N53" s="303"/>
      <c r="O53" s="303"/>
      <c r="P53" s="303"/>
      <c r="Q53" s="303"/>
      <c r="R53" s="303"/>
      <c r="S53" s="303"/>
      <c r="T53" s="303"/>
      <c r="U53" s="303"/>
      <c r="V53" s="303"/>
    </row>
    <row r="54" spans="1:22" ht="13.5" customHeight="1">
      <c r="A54" s="641" t="s">
        <v>1021</v>
      </c>
      <c r="B54" s="586"/>
      <c r="C54" s="645">
        <f t="shared" ref="C54:H54" si="6">SUM(C46:C53)</f>
        <v>454869</v>
      </c>
      <c r="D54" s="645">
        <f t="shared" si="6"/>
        <v>378408</v>
      </c>
      <c r="E54" s="645">
        <f t="shared" si="6"/>
        <v>154987</v>
      </c>
      <c r="F54" s="645">
        <f t="shared" si="6"/>
        <v>79987</v>
      </c>
      <c r="G54" s="640">
        <f t="shared" si="6"/>
        <v>609856</v>
      </c>
      <c r="H54" s="640">
        <f t="shared" si="6"/>
        <v>458395</v>
      </c>
      <c r="I54" s="646">
        <f t="shared" si="5"/>
        <v>-0.248</v>
      </c>
      <c r="J54" s="303"/>
      <c r="K54" s="303"/>
      <c r="L54" s="303"/>
      <c r="M54" s="303"/>
      <c r="N54" s="303"/>
      <c r="O54" s="303"/>
      <c r="P54" s="303"/>
      <c r="Q54" s="303"/>
      <c r="R54" s="303"/>
      <c r="S54" s="303"/>
      <c r="T54" s="303"/>
      <c r="U54" s="303"/>
      <c r="V54" s="303"/>
    </row>
    <row r="55" spans="1:22" ht="13.5" customHeight="1">
      <c r="A55" s="607" t="s">
        <v>962</v>
      </c>
      <c r="B55" s="643"/>
      <c r="C55" s="640">
        <f>[1]!F001P400SBBudgFY</f>
        <v>573166</v>
      </c>
      <c r="D55" s="645">
        <f>F001P400O6100+F001P400O6200</f>
        <v>573166</v>
      </c>
      <c r="E55" s="640">
        <f>[1]!F001P400OthBudgFy</f>
        <v>69580</v>
      </c>
      <c r="F55" s="645">
        <f>F001P400O630064006500+F001P400O6600+F001P400O6800</f>
        <v>69580</v>
      </c>
      <c r="G55" s="640">
        <f t="shared" si="3"/>
        <v>642746</v>
      </c>
      <c r="H55" s="639">
        <f t="shared" si="4"/>
        <v>642746</v>
      </c>
      <c r="I55" s="646">
        <f t="shared" si="5"/>
        <v>0</v>
      </c>
      <c r="J55" s="303"/>
      <c r="K55" s="303"/>
      <c r="L55" s="303"/>
      <c r="M55" s="303"/>
      <c r="N55" s="303"/>
      <c r="O55" s="303"/>
      <c r="P55" s="303"/>
      <c r="Q55" s="303"/>
      <c r="R55" s="303"/>
      <c r="S55" s="303"/>
      <c r="T55" s="303"/>
      <c r="U55" s="303"/>
      <c r="V55" s="303"/>
    </row>
    <row r="56" spans="1:22" ht="13.5" customHeight="1">
      <c r="A56" s="633" t="s">
        <v>337</v>
      </c>
      <c r="B56" s="644"/>
      <c r="C56" s="640">
        <f>[1]!F001P510SBBudgFY</f>
        <v>0</v>
      </c>
      <c r="D56" s="645">
        <f>F001P510O6100+F001P510O6200</f>
        <v>0</v>
      </c>
      <c r="E56" s="640">
        <f>[1]!F001P510OthBudgFY</f>
        <v>0</v>
      </c>
      <c r="F56" s="645">
        <f>F001P510O630064006500+F001P510O6600+F001P510O6800</f>
        <v>0</v>
      </c>
      <c r="G56" s="640">
        <f t="shared" si="3"/>
        <v>0</v>
      </c>
      <c r="H56" s="639">
        <f t="shared" si="4"/>
        <v>0</v>
      </c>
      <c r="I56" s="646">
        <f t="shared" si="5"/>
        <v>0</v>
      </c>
      <c r="J56" s="303"/>
      <c r="K56" s="303"/>
      <c r="L56" s="303"/>
      <c r="M56" s="303"/>
      <c r="N56" s="303"/>
      <c r="O56" s="303"/>
      <c r="P56" s="303"/>
      <c r="Q56" s="303"/>
      <c r="R56" s="303"/>
      <c r="S56" s="303"/>
      <c r="T56" s="303"/>
      <c r="U56" s="303"/>
      <c r="V56" s="303"/>
    </row>
    <row r="57" spans="1:22" ht="13.5" customHeight="1">
      <c r="A57" s="607" t="s">
        <v>963</v>
      </c>
      <c r="B57" s="643"/>
      <c r="C57" s="631">
        <f>[1]!F001P530SBBudgFY</f>
        <v>0</v>
      </c>
      <c r="D57" s="1193">
        <f>F001P530O6100+F001P530O6200</f>
        <v>0</v>
      </c>
      <c r="E57" s="631">
        <f>[1]!F001P530OthBudgFY</f>
        <v>0</v>
      </c>
      <c r="F57" s="1193">
        <f>F001P530O630064006500+F001P530O6600+F001P530O6800</f>
        <v>0</v>
      </c>
      <c r="G57" s="631">
        <f t="shared" si="3"/>
        <v>0</v>
      </c>
      <c r="H57" s="1191">
        <f t="shared" si="4"/>
        <v>0</v>
      </c>
      <c r="I57" s="1192">
        <f t="shared" si="5"/>
        <v>0</v>
      </c>
      <c r="J57" s="303"/>
      <c r="K57" s="303"/>
      <c r="L57" s="303"/>
      <c r="M57" s="303"/>
      <c r="N57" s="303"/>
      <c r="O57" s="303"/>
      <c r="P57" s="303"/>
      <c r="Q57" s="303"/>
      <c r="R57" s="303"/>
      <c r="S57" s="303"/>
      <c r="T57" s="303"/>
      <c r="U57" s="303"/>
      <c r="V57" s="303"/>
    </row>
    <row r="58" spans="1:22" ht="12.75" customHeight="1">
      <c r="A58" s="607" t="s">
        <v>1022</v>
      </c>
      <c r="B58" s="1070"/>
      <c r="C58" s="1190"/>
      <c r="D58" s="1190"/>
      <c r="E58" s="1190"/>
      <c r="F58" s="1190"/>
      <c r="G58" s="1190"/>
      <c r="H58" s="1190"/>
      <c r="I58" s="1190"/>
      <c r="J58" s="303"/>
      <c r="K58" s="303"/>
      <c r="L58" s="303"/>
      <c r="M58" s="303"/>
      <c r="N58" s="303"/>
      <c r="O58" s="303"/>
      <c r="P58" s="303"/>
      <c r="Q58" s="303"/>
      <c r="R58" s="303"/>
      <c r="S58" s="303"/>
      <c r="T58" s="303"/>
      <c r="U58" s="303"/>
      <c r="V58" s="303"/>
    </row>
    <row r="59" spans="1:22" ht="12.75" customHeight="1">
      <c r="A59" s="607" t="s">
        <v>1113</v>
      </c>
      <c r="B59" s="1070"/>
      <c r="C59" s="1188">
        <f>[1]!F001P540SBBudgFY</f>
        <v>0</v>
      </c>
      <c r="D59" s="1194">
        <f>F001P540O6100+F001P540O6200</f>
        <v>0</v>
      </c>
      <c r="E59" s="1188">
        <f>[1]!F001P540OthBudgFY</f>
        <v>0</v>
      </c>
      <c r="F59" s="1194">
        <f>F001P540O630064006500+F001P540O6600+F001P540O6800</f>
        <v>0</v>
      </c>
      <c r="G59" s="1188">
        <f>C59+E59</f>
        <v>0</v>
      </c>
      <c r="H59" s="1188">
        <f>D59+F59</f>
        <v>0</v>
      </c>
      <c r="I59" s="1189">
        <f>IF(G59=H59,0,IF(G59&gt;0,(H59-G59)/G59,""))</f>
        <v>0</v>
      </c>
      <c r="J59" s="303"/>
      <c r="K59" s="303"/>
      <c r="L59" s="303"/>
      <c r="M59" s="303"/>
      <c r="N59" s="303"/>
      <c r="O59" s="303"/>
      <c r="P59" s="303"/>
      <c r="Q59" s="303"/>
      <c r="R59" s="303"/>
      <c r="S59" s="303"/>
      <c r="T59" s="303"/>
      <c r="U59" s="303"/>
      <c r="V59" s="303"/>
    </row>
    <row r="60" spans="1:22" ht="14.25" customHeight="1">
      <c r="A60" s="633" t="s">
        <v>1023</v>
      </c>
      <c r="B60" s="1260"/>
      <c r="C60" s="635">
        <f>[1]!F001P550SBBudgFY</f>
        <v>13065</v>
      </c>
      <c r="D60" s="647">
        <f>F001P550O6100+F001P550O6200</f>
        <v>13327</v>
      </c>
      <c r="E60" s="635">
        <f>[1]!F001P550OthBudgFY</f>
        <v>0</v>
      </c>
      <c r="F60" s="647">
        <f>F001P550O630064006500+F001P550O6600+F001P550O6800</f>
        <v>0</v>
      </c>
      <c r="G60" s="635">
        <f>C60+E60</f>
        <v>13065</v>
      </c>
      <c r="H60" s="639">
        <f>D60+F60</f>
        <v>13327</v>
      </c>
      <c r="I60" s="648">
        <f>IF(G60=H60,0,IF(G60&gt;0,(H60-G60)/G60,""))</f>
        <v>0.02</v>
      </c>
      <c r="J60" s="303"/>
      <c r="K60" s="303"/>
      <c r="L60" s="303"/>
      <c r="M60" s="303"/>
      <c r="N60" s="303"/>
      <c r="O60" s="303"/>
      <c r="P60" s="303"/>
      <c r="Q60" s="303"/>
      <c r="R60" s="303"/>
      <c r="S60" s="303"/>
      <c r="T60" s="303"/>
      <c r="U60" s="303"/>
      <c r="V60" s="303"/>
    </row>
    <row r="61" spans="1:22" ht="12.75" customHeight="1">
      <c r="A61" s="637" t="s">
        <v>1024</v>
      </c>
      <c r="B61" s="1509"/>
      <c r="C61" s="642">
        <f t="shared" ref="C61:H61" si="7">SUM(C54:C60)+C44</f>
        <v>5289721</v>
      </c>
      <c r="D61" s="642">
        <f t="shared" si="7"/>
        <v>5166165</v>
      </c>
      <c r="E61" s="642">
        <f t="shared" si="7"/>
        <v>1627067</v>
      </c>
      <c r="F61" s="642">
        <f t="shared" si="7"/>
        <v>1552067</v>
      </c>
      <c r="G61" s="642">
        <f t="shared" si="7"/>
        <v>6916788</v>
      </c>
      <c r="H61" s="642">
        <f t="shared" si="7"/>
        <v>6718232</v>
      </c>
      <c r="I61" s="636">
        <f>IF(G61=H61,0,IF(G61&gt;0,(H61-G61)/G61,""))</f>
        <v>-2.9000000000000001E-2</v>
      </c>
      <c r="J61" s="303"/>
      <c r="K61" s="303"/>
      <c r="L61" s="303"/>
      <c r="M61" s="303"/>
      <c r="N61" s="303"/>
      <c r="O61" s="303"/>
      <c r="P61" s="303"/>
      <c r="Q61" s="303"/>
      <c r="R61" s="303"/>
      <c r="S61" s="303"/>
      <c r="T61" s="303"/>
      <c r="U61" s="303"/>
      <c r="V61" s="303"/>
    </row>
    <row r="62" spans="1:22" ht="12">
      <c r="A62" s="1510" t="s">
        <v>1322</v>
      </c>
      <c r="B62" s="1509"/>
      <c r="C62" s="1323"/>
      <c r="D62" s="1323"/>
      <c r="E62" s="1323"/>
      <c r="F62" s="1323"/>
      <c r="G62" s="1522">
        <f>'Page 1'!$K$43</f>
        <v>679893</v>
      </c>
      <c r="H62" s="1191">
        <f>F001Carryforward</f>
        <v>953984</v>
      </c>
      <c r="I62" s="1323"/>
      <c r="J62" s="303"/>
      <c r="K62" s="303"/>
      <c r="L62" s="303"/>
      <c r="M62" s="303"/>
      <c r="N62" s="303"/>
      <c r="O62" s="303"/>
      <c r="P62" s="303"/>
      <c r="Q62" s="303"/>
      <c r="R62" s="303"/>
      <c r="S62" s="303"/>
      <c r="T62" s="303"/>
      <c r="U62" s="303"/>
      <c r="V62" s="303"/>
    </row>
    <row r="63" spans="1:22" ht="11.4">
      <c r="A63" s="1432" t="s">
        <v>1114</v>
      </c>
      <c r="B63" s="1433"/>
      <c r="C63" s="1431">
        <f>C61</f>
        <v>5289721</v>
      </c>
      <c r="D63" s="1431">
        <f t="shared" ref="D63:F63" si="8">D61</f>
        <v>5166165</v>
      </c>
      <c r="E63" s="1431">
        <f t="shared" si="8"/>
        <v>1627067</v>
      </c>
      <c r="F63" s="1431">
        <f t="shared" si="8"/>
        <v>1552067</v>
      </c>
      <c r="G63" s="1431">
        <f>G61+G62</f>
        <v>7596681</v>
      </c>
      <c r="H63" s="1431">
        <f>H61+H62</f>
        <v>7672216</v>
      </c>
      <c r="I63" s="636">
        <f>IF(G63=H63,0,IF(G63&gt;0,(H63-G63)/G63,""))</f>
        <v>0.01</v>
      </c>
      <c r="J63" s="303"/>
      <c r="K63" s="303"/>
      <c r="L63" s="303"/>
      <c r="M63" s="303"/>
      <c r="N63" s="303"/>
      <c r="O63" s="303"/>
      <c r="P63" s="303"/>
      <c r="Q63" s="303"/>
      <c r="R63" s="303"/>
      <c r="S63" s="303"/>
      <c r="T63" s="303"/>
      <c r="U63" s="303"/>
      <c r="V63" s="303"/>
    </row>
    <row r="64" spans="1:22" ht="11.4">
      <c r="A64" s="583"/>
      <c r="B64" s="583"/>
      <c r="H64" s="586"/>
      <c r="I64" s="583"/>
      <c r="J64" s="303"/>
      <c r="K64" s="303"/>
      <c r="L64" s="303"/>
      <c r="M64" s="303"/>
      <c r="N64" s="303"/>
      <c r="O64" s="303"/>
      <c r="P64" s="303"/>
      <c r="Q64" s="303"/>
      <c r="R64" s="303"/>
      <c r="S64" s="303"/>
      <c r="T64" s="303"/>
      <c r="U64" s="303"/>
      <c r="V64" s="303"/>
    </row>
    <row r="65" spans="1:22" ht="11.4">
      <c r="B65" s="583"/>
      <c r="H65" s="586"/>
      <c r="J65" s="303"/>
      <c r="K65" s="303"/>
      <c r="L65" s="303"/>
      <c r="M65" s="303"/>
      <c r="N65" s="303"/>
      <c r="O65" s="303"/>
      <c r="P65" s="303"/>
      <c r="Q65" s="303"/>
      <c r="R65" s="303"/>
      <c r="S65" s="303"/>
      <c r="T65" s="303"/>
      <c r="U65" s="303"/>
      <c r="V65" s="303"/>
    </row>
    <row r="66" spans="1:22" ht="11.4">
      <c r="A66" s="583"/>
      <c r="B66" s="583"/>
      <c r="H66" s="586"/>
      <c r="I66" s="583"/>
      <c r="J66" s="303"/>
      <c r="K66" s="303"/>
      <c r="L66" s="303"/>
      <c r="M66" s="303"/>
      <c r="N66" s="303"/>
      <c r="O66" s="303"/>
      <c r="P66" s="303"/>
      <c r="Q66" s="303"/>
      <c r="R66" s="303"/>
      <c r="S66" s="303"/>
      <c r="T66" s="303"/>
      <c r="U66" s="303"/>
      <c r="V66" s="303"/>
    </row>
    <row r="67" spans="1:22" ht="11.4">
      <c r="A67" s="583"/>
      <c r="B67" s="583"/>
      <c r="C67" s="584"/>
      <c r="D67" s="586"/>
      <c r="E67" s="586"/>
      <c r="F67" s="586"/>
      <c r="G67" s="586"/>
      <c r="H67" s="586"/>
      <c r="I67" s="583"/>
      <c r="J67" s="303"/>
      <c r="K67" s="303"/>
      <c r="L67" s="303"/>
      <c r="M67" s="303"/>
      <c r="N67" s="303"/>
      <c r="O67" s="303"/>
      <c r="P67" s="303"/>
      <c r="Q67" s="303"/>
      <c r="R67" s="303"/>
      <c r="S67" s="303"/>
      <c r="T67" s="303"/>
      <c r="U67" s="303"/>
      <c r="V67" s="303"/>
    </row>
    <row r="68" spans="1:22" ht="11.4">
      <c r="B68" s="583"/>
      <c r="D68" s="586"/>
      <c r="E68" s="586"/>
      <c r="F68" s="586"/>
      <c r="G68" s="586"/>
      <c r="H68" s="586"/>
      <c r="I68" s="583"/>
      <c r="J68" s="303"/>
      <c r="K68" s="303"/>
      <c r="L68" s="303"/>
      <c r="M68" s="303"/>
      <c r="N68" s="303"/>
      <c r="O68" s="303"/>
      <c r="P68" s="303"/>
      <c r="Q68" s="303"/>
      <c r="R68" s="303"/>
      <c r="S68" s="303"/>
      <c r="T68" s="303"/>
      <c r="U68" s="303"/>
      <c r="V68" s="303"/>
    </row>
    <row r="69" spans="1:22" ht="11.4">
      <c r="A69" s="583"/>
      <c r="B69" s="583"/>
      <c r="C69" s="583"/>
      <c r="D69" s="583"/>
      <c r="E69" s="583"/>
      <c r="F69" s="583"/>
      <c r="G69" s="583"/>
      <c r="H69" s="583"/>
      <c r="I69" s="583"/>
      <c r="J69" s="303"/>
      <c r="K69" s="303"/>
      <c r="L69" s="303"/>
      <c r="M69" s="303"/>
      <c r="N69" s="303"/>
      <c r="O69" s="303"/>
      <c r="P69" s="303"/>
      <c r="Q69" s="303"/>
      <c r="R69" s="303"/>
      <c r="S69" s="303"/>
      <c r="T69" s="303"/>
      <c r="U69" s="303"/>
      <c r="V69" s="303"/>
    </row>
    <row r="70" spans="1:22" ht="11.4">
      <c r="A70" s="583"/>
      <c r="B70" s="583"/>
      <c r="C70" s="583"/>
      <c r="D70" s="583"/>
      <c r="E70" s="583"/>
      <c r="F70" s="583"/>
      <c r="G70" s="583"/>
      <c r="H70" s="583"/>
      <c r="I70" s="583"/>
      <c r="J70" s="303"/>
      <c r="K70" s="303"/>
      <c r="L70" s="303"/>
      <c r="M70" s="303"/>
      <c r="N70" s="303"/>
      <c r="O70" s="303"/>
      <c r="P70" s="303"/>
      <c r="Q70" s="303"/>
      <c r="R70" s="303"/>
      <c r="S70" s="303"/>
      <c r="T70" s="303"/>
      <c r="U70" s="303"/>
      <c r="V70" s="303"/>
    </row>
    <row r="71" spans="1:22" ht="11.4">
      <c r="A71" s="583"/>
      <c r="B71" s="583"/>
      <c r="C71" s="583"/>
      <c r="D71" s="583"/>
      <c r="E71" s="583"/>
      <c r="F71" s="583"/>
      <c r="G71" s="583"/>
      <c r="H71" s="583"/>
      <c r="I71" s="583"/>
      <c r="J71" s="303"/>
      <c r="K71" s="303"/>
      <c r="L71" s="303"/>
      <c r="M71" s="303"/>
      <c r="N71" s="303"/>
      <c r="O71" s="303"/>
      <c r="P71" s="303"/>
      <c r="Q71" s="303"/>
      <c r="R71" s="303"/>
      <c r="S71" s="303"/>
      <c r="T71" s="303"/>
      <c r="U71" s="303"/>
      <c r="V71" s="303"/>
    </row>
    <row r="72" spans="1:22" ht="11.4">
      <c r="A72" s="583"/>
      <c r="B72" s="583"/>
      <c r="C72" s="583"/>
      <c r="D72" s="583"/>
      <c r="E72" s="583"/>
      <c r="F72" s="583"/>
      <c r="G72" s="583"/>
      <c r="H72" s="583"/>
      <c r="I72" s="583"/>
      <c r="J72" s="303"/>
      <c r="K72" s="303"/>
      <c r="L72" s="303"/>
      <c r="M72" s="303"/>
      <c r="N72" s="303"/>
      <c r="O72" s="303"/>
      <c r="P72" s="303"/>
      <c r="Q72" s="303"/>
      <c r="R72" s="303"/>
      <c r="S72" s="303"/>
      <c r="T72" s="303"/>
      <c r="U72" s="303"/>
      <c r="V72" s="303"/>
    </row>
    <row r="73" spans="1:22" ht="11.4">
      <c r="A73" s="583"/>
      <c r="B73" s="583"/>
      <c r="C73" s="583"/>
      <c r="D73" s="583"/>
      <c r="E73" s="583"/>
      <c r="F73" s="583"/>
      <c r="G73" s="583"/>
      <c r="H73" s="583"/>
      <c r="I73" s="583"/>
      <c r="J73" s="303"/>
      <c r="K73" s="303"/>
      <c r="L73" s="303"/>
      <c r="M73" s="303"/>
      <c r="N73" s="303"/>
      <c r="O73" s="303"/>
      <c r="P73" s="303"/>
      <c r="Q73" s="303"/>
      <c r="R73" s="303"/>
      <c r="S73" s="303"/>
      <c r="T73" s="303"/>
      <c r="U73" s="303"/>
      <c r="V73" s="303"/>
    </row>
    <row r="74" spans="1:22" ht="11.4">
      <c r="A74" s="583"/>
      <c r="B74" s="583"/>
      <c r="C74" s="583"/>
      <c r="D74" s="583"/>
      <c r="E74" s="583"/>
      <c r="F74" s="583"/>
      <c r="G74" s="583"/>
      <c r="H74" s="583"/>
      <c r="I74" s="583"/>
      <c r="J74" s="303"/>
      <c r="K74" s="303"/>
      <c r="L74" s="303"/>
      <c r="M74" s="303"/>
      <c r="N74" s="303"/>
      <c r="O74" s="303"/>
      <c r="P74" s="303"/>
      <c r="Q74" s="303"/>
      <c r="R74" s="303"/>
      <c r="S74" s="303"/>
      <c r="T74" s="303"/>
      <c r="U74" s="303"/>
      <c r="V74" s="303"/>
    </row>
    <row r="75" spans="1:22" ht="11.4">
      <c r="A75" s="583"/>
      <c r="B75" s="583"/>
      <c r="C75" s="583"/>
      <c r="D75" s="583"/>
      <c r="E75" s="583"/>
      <c r="F75" s="583"/>
      <c r="G75" s="583"/>
      <c r="H75" s="583"/>
      <c r="I75" s="583"/>
      <c r="J75" s="303"/>
      <c r="K75" s="303"/>
      <c r="L75" s="303"/>
      <c r="M75" s="303"/>
      <c r="N75" s="303"/>
      <c r="O75" s="303"/>
      <c r="P75" s="303"/>
      <c r="Q75" s="303"/>
      <c r="R75" s="303"/>
      <c r="S75" s="303"/>
      <c r="T75" s="303"/>
      <c r="U75" s="303"/>
      <c r="V75" s="303"/>
    </row>
    <row r="76" spans="1:22" ht="11.4">
      <c r="A76" s="583"/>
      <c r="B76" s="583"/>
      <c r="C76" s="583"/>
      <c r="D76" s="583"/>
      <c r="E76" s="583"/>
      <c r="F76" s="583"/>
      <c r="G76" s="583"/>
      <c r="H76" s="583"/>
      <c r="I76" s="583"/>
      <c r="J76" s="303"/>
      <c r="K76" s="303"/>
      <c r="L76" s="303"/>
      <c r="M76" s="303"/>
      <c r="N76" s="303"/>
      <c r="O76" s="303"/>
      <c r="P76" s="303"/>
      <c r="Q76" s="303"/>
      <c r="R76" s="303"/>
      <c r="S76" s="303"/>
      <c r="T76" s="303"/>
      <c r="U76" s="303"/>
      <c r="V76" s="303"/>
    </row>
    <row r="77" spans="1:22" ht="11.4">
      <c r="J77" s="303"/>
      <c r="K77" s="303"/>
      <c r="L77" s="303"/>
      <c r="M77" s="303"/>
      <c r="N77" s="303"/>
      <c r="O77" s="303"/>
      <c r="P77" s="303"/>
      <c r="Q77" s="303"/>
      <c r="R77" s="303"/>
      <c r="S77" s="303"/>
      <c r="T77" s="303"/>
      <c r="U77" s="303"/>
      <c r="V77" s="303"/>
    </row>
    <row r="78" spans="1:22" ht="11.4">
      <c r="J78" s="303"/>
      <c r="K78" s="303"/>
      <c r="L78" s="303"/>
      <c r="M78" s="303"/>
      <c r="N78" s="303"/>
      <c r="O78" s="303"/>
      <c r="P78" s="303"/>
      <c r="Q78" s="303"/>
      <c r="R78" s="303"/>
      <c r="S78" s="303"/>
      <c r="T78" s="303"/>
      <c r="U78" s="303"/>
      <c r="V78" s="303"/>
    </row>
    <row r="79" spans="1:22" ht="11.4">
      <c r="J79" s="303"/>
      <c r="K79" s="303"/>
      <c r="L79" s="303"/>
      <c r="M79" s="303"/>
      <c r="N79" s="303"/>
      <c r="O79" s="303"/>
      <c r="P79" s="303"/>
      <c r="Q79" s="303"/>
      <c r="R79" s="303"/>
      <c r="S79" s="303"/>
      <c r="T79" s="303"/>
      <c r="U79" s="303"/>
      <c r="V79" s="303"/>
    </row>
    <row r="80" spans="1:22" ht="11.4">
      <c r="J80" s="303"/>
      <c r="K80" s="303"/>
      <c r="L80" s="303"/>
      <c r="M80" s="303"/>
      <c r="N80" s="303"/>
      <c r="O80" s="303"/>
      <c r="P80" s="303"/>
      <c r="Q80" s="303"/>
      <c r="R80" s="303"/>
      <c r="S80" s="303"/>
      <c r="T80" s="303"/>
      <c r="U80" s="303"/>
      <c r="V80" s="303"/>
    </row>
    <row r="81" spans="10:22" ht="11.4">
      <c r="J81" s="303"/>
      <c r="K81" s="303"/>
      <c r="L81" s="303"/>
      <c r="M81" s="303"/>
      <c r="N81" s="303"/>
      <c r="O81" s="303"/>
      <c r="P81" s="303"/>
      <c r="Q81" s="303"/>
      <c r="R81" s="303"/>
      <c r="S81" s="303"/>
      <c r="T81" s="303"/>
      <c r="U81" s="303"/>
      <c r="V81" s="303"/>
    </row>
    <row r="82" spans="10:22" ht="11.4">
      <c r="J82" s="303"/>
      <c r="K82" s="303"/>
      <c r="L82" s="303"/>
      <c r="M82" s="303"/>
      <c r="N82" s="303"/>
      <c r="O82" s="303"/>
      <c r="P82" s="303"/>
      <c r="Q82" s="303"/>
      <c r="R82" s="303"/>
      <c r="S82" s="303"/>
      <c r="T82" s="303"/>
      <c r="U82" s="303"/>
      <c r="V82" s="303"/>
    </row>
    <row r="83" spans="10:22" ht="11.4">
      <c r="J83" s="303"/>
      <c r="K83" s="303"/>
      <c r="L83" s="303"/>
      <c r="M83" s="303"/>
      <c r="N83" s="303"/>
      <c r="O83" s="303"/>
      <c r="P83" s="303"/>
      <c r="Q83" s="303"/>
      <c r="R83" s="303"/>
      <c r="S83" s="303"/>
      <c r="T83" s="303"/>
      <c r="U83" s="303"/>
      <c r="V83" s="303"/>
    </row>
    <row r="84" spans="10:22" ht="11.4">
      <c r="J84" s="303"/>
      <c r="K84" s="303"/>
      <c r="L84" s="303"/>
      <c r="M84" s="303"/>
      <c r="N84" s="303"/>
      <c r="O84" s="303"/>
      <c r="P84" s="303"/>
      <c r="Q84" s="303"/>
      <c r="R84" s="303"/>
      <c r="S84" s="303"/>
      <c r="T84" s="303"/>
      <c r="U84" s="303"/>
      <c r="V84" s="303"/>
    </row>
    <row r="85" spans="10:22" ht="11.4">
      <c r="J85" s="303"/>
      <c r="K85" s="303"/>
      <c r="L85" s="303"/>
      <c r="M85" s="303"/>
      <c r="N85" s="303"/>
      <c r="O85" s="303"/>
      <c r="P85" s="303"/>
      <c r="Q85" s="303"/>
      <c r="R85" s="303"/>
      <c r="S85" s="303"/>
      <c r="T85" s="303"/>
      <c r="U85" s="303"/>
      <c r="V85" s="303"/>
    </row>
    <row r="86" spans="10:22" ht="11.4">
      <c r="J86" s="303"/>
      <c r="K86" s="303"/>
      <c r="L86" s="303"/>
      <c r="M86" s="303"/>
      <c r="N86" s="303"/>
      <c r="O86" s="303"/>
      <c r="P86" s="303"/>
      <c r="Q86" s="303"/>
      <c r="R86" s="303"/>
      <c r="S86" s="303"/>
      <c r="T86" s="303"/>
      <c r="U86" s="303"/>
      <c r="V86" s="303"/>
    </row>
    <row r="87" spans="10:22" ht="11.4">
      <c r="J87" s="303"/>
      <c r="K87" s="303"/>
      <c r="L87" s="303"/>
      <c r="M87" s="303"/>
      <c r="N87" s="303"/>
      <c r="O87" s="303"/>
      <c r="P87" s="303"/>
      <c r="Q87" s="303"/>
      <c r="R87" s="303"/>
      <c r="S87" s="303"/>
      <c r="T87" s="303"/>
      <c r="U87" s="303"/>
      <c r="V87" s="303"/>
    </row>
    <row r="88" spans="10:22" ht="11.4">
      <c r="J88" s="303"/>
      <c r="K88" s="303"/>
      <c r="L88" s="303"/>
      <c r="M88" s="303"/>
      <c r="N88" s="303"/>
      <c r="O88" s="303"/>
      <c r="P88" s="303"/>
      <c r="Q88" s="303"/>
      <c r="R88" s="303"/>
      <c r="S88" s="303"/>
      <c r="T88" s="303"/>
      <c r="U88" s="303"/>
      <c r="V88" s="303"/>
    </row>
    <row r="89" spans="10:22" ht="11.4">
      <c r="J89" s="303"/>
      <c r="K89" s="303"/>
      <c r="L89" s="303"/>
      <c r="M89" s="303"/>
      <c r="N89" s="303"/>
      <c r="O89" s="303"/>
      <c r="P89" s="303"/>
      <c r="Q89" s="303"/>
      <c r="R89" s="303"/>
      <c r="S89" s="303"/>
      <c r="T89" s="303"/>
      <c r="U89" s="303"/>
      <c r="V89" s="303"/>
    </row>
    <row r="90" spans="10:22" ht="11.4">
      <c r="J90" s="303"/>
      <c r="K90" s="303"/>
      <c r="L90" s="303"/>
      <c r="M90" s="303"/>
      <c r="N90" s="303"/>
      <c r="O90" s="303"/>
      <c r="P90" s="303"/>
      <c r="Q90" s="303"/>
      <c r="R90" s="303"/>
      <c r="S90" s="303"/>
      <c r="T90" s="303"/>
      <c r="U90" s="303"/>
      <c r="V90" s="303"/>
    </row>
    <row r="91" spans="10:22" ht="11.4">
      <c r="J91" s="303"/>
      <c r="K91" s="303"/>
      <c r="L91" s="303"/>
      <c r="M91" s="303"/>
      <c r="N91" s="303"/>
      <c r="O91" s="303"/>
      <c r="P91" s="303"/>
      <c r="Q91" s="303"/>
      <c r="R91" s="303"/>
      <c r="S91" s="303"/>
      <c r="T91" s="303"/>
      <c r="U91" s="303"/>
      <c r="V91" s="303"/>
    </row>
    <row r="92" spans="10:22" ht="11.4">
      <c r="J92" s="303"/>
      <c r="K92" s="303"/>
      <c r="L92" s="303"/>
      <c r="M92" s="303"/>
      <c r="N92" s="303"/>
      <c r="O92" s="303"/>
      <c r="P92" s="303"/>
      <c r="Q92" s="303"/>
      <c r="R92" s="303"/>
      <c r="S92" s="303"/>
      <c r="T92" s="303"/>
      <c r="U92" s="303"/>
      <c r="V92" s="303"/>
    </row>
    <row r="93" spans="10:22" ht="11.4">
      <c r="J93" s="303"/>
      <c r="K93" s="303"/>
      <c r="L93" s="303"/>
      <c r="M93" s="303"/>
      <c r="N93" s="303"/>
      <c r="O93" s="303"/>
      <c r="P93" s="303"/>
      <c r="Q93" s="303"/>
      <c r="R93" s="303"/>
      <c r="S93" s="303"/>
      <c r="T93" s="303"/>
      <c r="U93" s="303"/>
      <c r="V93" s="303"/>
    </row>
    <row r="94" spans="10:22" ht="11.4">
      <c r="J94" s="303"/>
      <c r="K94" s="303"/>
      <c r="L94" s="303"/>
      <c r="M94" s="303"/>
      <c r="N94" s="303"/>
      <c r="O94" s="303"/>
      <c r="P94" s="303"/>
      <c r="Q94" s="303"/>
      <c r="R94" s="303"/>
      <c r="S94" s="303"/>
      <c r="T94" s="303"/>
      <c r="U94" s="303"/>
      <c r="V94" s="303"/>
    </row>
    <row r="95" spans="10:22" ht="11.4">
      <c r="J95" s="303"/>
      <c r="K95" s="303"/>
      <c r="L95" s="303"/>
      <c r="M95" s="303"/>
      <c r="N95" s="303"/>
      <c r="O95" s="303"/>
      <c r="P95" s="303"/>
      <c r="Q95" s="303"/>
      <c r="R95" s="303"/>
      <c r="S95" s="303"/>
      <c r="T95" s="303"/>
      <c r="U95" s="303"/>
      <c r="V95" s="303"/>
    </row>
    <row r="96" spans="10:22" ht="11.4">
      <c r="J96" s="303"/>
      <c r="K96" s="303"/>
      <c r="L96" s="303"/>
      <c r="M96" s="303"/>
      <c r="N96" s="303"/>
      <c r="O96" s="303"/>
      <c r="P96" s="303"/>
      <c r="Q96" s="303"/>
      <c r="R96" s="303"/>
      <c r="S96" s="303"/>
      <c r="T96" s="303"/>
      <c r="U96" s="303"/>
      <c r="V96" s="303"/>
    </row>
    <row r="97" spans="10:22" ht="11.4">
      <c r="J97" s="303"/>
      <c r="K97" s="303"/>
      <c r="L97" s="303"/>
      <c r="M97" s="303"/>
      <c r="N97" s="303"/>
      <c r="O97" s="303"/>
      <c r="P97" s="303"/>
      <c r="Q97" s="303"/>
      <c r="R97" s="303"/>
      <c r="S97" s="303"/>
      <c r="T97" s="303"/>
      <c r="U97" s="303"/>
      <c r="V97" s="303"/>
    </row>
    <row r="98" spans="10:22" ht="11.4">
      <c r="J98" s="303"/>
      <c r="K98" s="303"/>
      <c r="L98" s="303"/>
      <c r="M98" s="303"/>
      <c r="N98" s="303"/>
      <c r="O98" s="303"/>
      <c r="P98" s="303"/>
      <c r="Q98" s="303"/>
      <c r="R98" s="303"/>
      <c r="S98" s="303"/>
      <c r="T98" s="303"/>
      <c r="U98" s="303"/>
      <c r="V98" s="303"/>
    </row>
    <row r="99" spans="10:22" ht="11.4">
      <c r="J99" s="303"/>
      <c r="K99" s="303"/>
      <c r="L99" s="303"/>
      <c r="M99" s="303"/>
      <c r="N99" s="303"/>
      <c r="O99" s="303"/>
      <c r="P99" s="303"/>
      <c r="Q99" s="303"/>
      <c r="R99" s="303"/>
      <c r="S99" s="303"/>
      <c r="T99" s="303"/>
      <c r="U99" s="303"/>
      <c r="V99" s="303"/>
    </row>
    <row r="100" spans="10:22" ht="11.4">
      <c r="J100" s="303"/>
      <c r="K100" s="303"/>
      <c r="L100" s="303"/>
      <c r="M100" s="303"/>
      <c r="N100" s="303"/>
      <c r="O100" s="303"/>
      <c r="P100" s="303"/>
      <c r="Q100" s="303"/>
      <c r="R100" s="303"/>
      <c r="S100" s="303"/>
      <c r="T100" s="303"/>
      <c r="U100" s="303"/>
      <c r="V100" s="303"/>
    </row>
    <row r="101" spans="10:22" ht="11.4">
      <c r="J101" s="303"/>
      <c r="K101" s="303"/>
      <c r="L101" s="303"/>
      <c r="M101" s="303"/>
      <c r="N101" s="303"/>
      <c r="O101" s="303"/>
      <c r="P101" s="303"/>
      <c r="Q101" s="303"/>
      <c r="R101" s="303"/>
      <c r="S101" s="303"/>
      <c r="T101" s="303"/>
      <c r="U101" s="303"/>
      <c r="V101" s="303"/>
    </row>
    <row r="102" spans="10:22" ht="11.4">
      <c r="J102" s="303"/>
      <c r="K102" s="303"/>
      <c r="L102" s="303"/>
      <c r="M102" s="303"/>
      <c r="N102" s="303"/>
      <c r="O102" s="303"/>
      <c r="P102" s="303"/>
      <c r="Q102" s="303"/>
      <c r="R102" s="303"/>
      <c r="S102" s="303"/>
      <c r="T102" s="303"/>
      <c r="U102" s="303"/>
      <c r="V102" s="303"/>
    </row>
    <row r="103" spans="10:22" ht="11.4">
      <c r="J103" s="303"/>
      <c r="K103" s="303"/>
      <c r="L103" s="303"/>
      <c r="M103" s="303"/>
      <c r="N103" s="303"/>
      <c r="O103" s="303"/>
      <c r="P103" s="303"/>
      <c r="Q103" s="303"/>
      <c r="R103" s="303"/>
      <c r="S103" s="303"/>
      <c r="T103" s="303"/>
      <c r="U103" s="303"/>
      <c r="V103" s="303"/>
    </row>
    <row r="104" spans="10:22" ht="11.4">
      <c r="J104" s="303"/>
      <c r="K104" s="303"/>
      <c r="L104" s="303"/>
      <c r="M104" s="303"/>
      <c r="N104" s="303"/>
      <c r="O104" s="303"/>
      <c r="P104" s="303"/>
      <c r="Q104" s="303"/>
      <c r="R104" s="303"/>
      <c r="S104" s="303"/>
      <c r="T104" s="303"/>
      <c r="U104" s="303"/>
      <c r="V104" s="303"/>
    </row>
    <row r="105" spans="10:22" ht="11.4">
      <c r="J105" s="303"/>
      <c r="K105" s="303"/>
      <c r="L105" s="303"/>
      <c r="M105" s="303"/>
      <c r="N105" s="303"/>
      <c r="O105" s="303"/>
      <c r="P105" s="303"/>
      <c r="Q105" s="303"/>
      <c r="R105" s="303"/>
      <c r="S105" s="303"/>
      <c r="T105" s="303"/>
      <c r="U105" s="303"/>
      <c r="V105" s="303"/>
    </row>
    <row r="106" spans="10:22" ht="11.4">
      <c r="J106" s="303"/>
      <c r="K106" s="303"/>
      <c r="L106" s="303"/>
      <c r="M106" s="303"/>
      <c r="N106" s="303"/>
      <c r="O106" s="303"/>
      <c r="P106" s="303"/>
      <c r="Q106" s="303"/>
      <c r="R106" s="303"/>
      <c r="S106" s="303"/>
      <c r="T106" s="303"/>
      <c r="U106" s="303"/>
      <c r="V106" s="303"/>
    </row>
    <row r="107" spans="10:22" ht="11.4">
      <c r="J107" s="303"/>
      <c r="K107" s="303"/>
      <c r="L107" s="303"/>
      <c r="M107" s="303"/>
      <c r="N107" s="303"/>
      <c r="O107" s="303"/>
      <c r="P107" s="303"/>
      <c r="Q107" s="303"/>
      <c r="R107" s="303"/>
      <c r="S107" s="303"/>
      <c r="T107" s="303"/>
      <c r="U107" s="303"/>
      <c r="V107" s="303"/>
    </row>
    <row r="108" spans="10:22" ht="11.4">
      <c r="J108" s="303"/>
      <c r="K108" s="303"/>
      <c r="L108" s="303"/>
      <c r="M108" s="303"/>
      <c r="N108" s="303"/>
      <c r="O108" s="303"/>
      <c r="P108" s="303"/>
      <c r="Q108" s="303"/>
      <c r="R108" s="303"/>
      <c r="S108" s="303"/>
      <c r="T108" s="303"/>
      <c r="U108" s="303"/>
      <c r="V108" s="303"/>
    </row>
    <row r="109" spans="10:22" ht="11.4">
      <c r="J109" s="303"/>
      <c r="K109" s="303"/>
      <c r="L109" s="303"/>
      <c r="M109" s="303"/>
      <c r="N109" s="303"/>
      <c r="O109" s="303"/>
      <c r="P109" s="303"/>
      <c r="Q109" s="303"/>
      <c r="R109" s="303"/>
      <c r="S109" s="303"/>
      <c r="T109" s="303"/>
      <c r="U109" s="303"/>
      <c r="V109" s="303"/>
    </row>
    <row r="110" spans="10:22" ht="11.4">
      <c r="J110" s="303"/>
      <c r="K110" s="303"/>
      <c r="L110" s="303"/>
      <c r="M110" s="303"/>
      <c r="N110" s="303"/>
      <c r="O110" s="303"/>
      <c r="P110" s="303"/>
      <c r="Q110" s="303"/>
      <c r="R110" s="303"/>
      <c r="S110" s="303"/>
      <c r="T110" s="303"/>
      <c r="U110" s="303"/>
      <c r="V110" s="303"/>
    </row>
    <row r="111" spans="10:22" ht="11.4">
      <c r="J111" s="303"/>
      <c r="K111" s="303"/>
      <c r="L111" s="303"/>
      <c r="M111" s="303"/>
      <c r="N111" s="303"/>
      <c r="O111" s="303"/>
      <c r="P111" s="303"/>
      <c r="Q111" s="303"/>
      <c r="R111" s="303"/>
      <c r="S111" s="303"/>
      <c r="T111" s="303"/>
      <c r="U111" s="303"/>
      <c r="V111" s="303"/>
    </row>
    <row r="112" spans="10:22" ht="11.4">
      <c r="J112" s="303"/>
      <c r="K112" s="303"/>
      <c r="L112" s="303"/>
      <c r="M112" s="303"/>
      <c r="N112" s="303"/>
      <c r="O112" s="303"/>
      <c r="P112" s="303"/>
      <c r="Q112" s="303"/>
      <c r="R112" s="303"/>
      <c r="S112" s="303"/>
      <c r="T112" s="303"/>
      <c r="U112" s="303"/>
      <c r="V112" s="303"/>
    </row>
    <row r="113" spans="10:22" ht="11.4">
      <c r="J113" s="303"/>
      <c r="K113" s="303"/>
      <c r="L113" s="303"/>
      <c r="M113" s="303"/>
      <c r="N113" s="303"/>
      <c r="O113" s="303"/>
      <c r="P113" s="303"/>
      <c r="Q113" s="303"/>
      <c r="R113" s="303"/>
      <c r="S113" s="303"/>
      <c r="T113" s="303"/>
      <c r="U113" s="303"/>
      <c r="V113" s="303"/>
    </row>
    <row r="114" spans="10:22" ht="11.4">
      <c r="J114" s="303"/>
      <c r="K114" s="303"/>
      <c r="L114" s="303"/>
      <c r="M114" s="303"/>
      <c r="N114" s="303"/>
      <c r="O114" s="303"/>
      <c r="P114" s="303"/>
      <c r="Q114" s="303"/>
      <c r="R114" s="303"/>
      <c r="S114" s="303"/>
      <c r="T114" s="303"/>
      <c r="U114" s="303"/>
      <c r="V114" s="303"/>
    </row>
    <row r="115" spans="10:22" ht="11.4">
      <c r="J115" s="303"/>
      <c r="K115" s="303"/>
      <c r="L115" s="303"/>
      <c r="M115" s="303"/>
      <c r="N115" s="303"/>
      <c r="O115" s="303"/>
      <c r="P115" s="303"/>
      <c r="Q115" s="303"/>
      <c r="R115" s="303"/>
      <c r="S115" s="303"/>
      <c r="T115" s="303"/>
      <c r="U115" s="303"/>
      <c r="V115" s="303"/>
    </row>
    <row r="116" spans="10:22" ht="11.4">
      <c r="J116" s="303"/>
      <c r="K116" s="303"/>
      <c r="L116" s="303"/>
      <c r="M116" s="303"/>
      <c r="N116" s="303"/>
      <c r="O116" s="303"/>
      <c r="P116" s="303"/>
      <c r="Q116" s="303"/>
      <c r="R116" s="303"/>
      <c r="S116" s="303"/>
      <c r="T116" s="303"/>
      <c r="U116" s="303"/>
      <c r="V116" s="303"/>
    </row>
    <row r="117" spans="10:22" ht="11.4">
      <c r="J117" s="303"/>
      <c r="K117" s="303"/>
      <c r="L117" s="303"/>
      <c r="M117" s="303"/>
      <c r="N117" s="303"/>
      <c r="O117" s="303"/>
      <c r="P117" s="303"/>
      <c r="Q117" s="303"/>
      <c r="R117" s="303"/>
      <c r="S117" s="303"/>
      <c r="T117" s="303"/>
      <c r="U117" s="303"/>
      <c r="V117" s="303"/>
    </row>
    <row r="118" spans="10:22" ht="11.4">
      <c r="J118" s="303"/>
      <c r="K118" s="303"/>
      <c r="L118" s="303"/>
      <c r="M118" s="303"/>
      <c r="N118" s="303"/>
      <c r="O118" s="303"/>
      <c r="P118" s="303"/>
      <c r="Q118" s="303"/>
      <c r="R118" s="303"/>
      <c r="S118" s="303"/>
      <c r="T118" s="303"/>
      <c r="U118" s="303"/>
      <c r="V118" s="303"/>
    </row>
    <row r="119" spans="10:22" ht="11.4">
      <c r="J119" s="303"/>
      <c r="K119" s="303"/>
      <c r="L119" s="303"/>
      <c r="M119" s="303"/>
      <c r="N119" s="303"/>
      <c r="O119" s="303"/>
      <c r="P119" s="303"/>
      <c r="Q119" s="303"/>
      <c r="R119" s="303"/>
      <c r="S119" s="303"/>
      <c r="T119" s="303"/>
      <c r="U119" s="303"/>
      <c r="V119" s="303"/>
    </row>
    <row r="120" spans="10:22" ht="11.4">
      <c r="J120" s="303"/>
      <c r="K120" s="303"/>
      <c r="L120" s="303"/>
      <c r="M120" s="303"/>
      <c r="N120" s="303"/>
      <c r="O120" s="303"/>
      <c r="P120" s="303"/>
      <c r="Q120" s="303"/>
      <c r="R120" s="303"/>
      <c r="S120" s="303"/>
      <c r="T120" s="303"/>
      <c r="U120" s="303"/>
      <c r="V120" s="303"/>
    </row>
    <row r="121" spans="10:22" ht="11.4">
      <c r="J121" s="303"/>
      <c r="K121" s="303"/>
      <c r="L121" s="303"/>
      <c r="M121" s="303"/>
      <c r="N121" s="303"/>
      <c r="O121" s="303"/>
      <c r="P121" s="303"/>
      <c r="Q121" s="303"/>
      <c r="R121" s="303"/>
      <c r="S121" s="303"/>
      <c r="T121" s="303"/>
      <c r="U121" s="303"/>
      <c r="V121" s="303"/>
    </row>
    <row r="122" spans="10:22" ht="11.4">
      <c r="J122" s="303"/>
      <c r="K122" s="303"/>
      <c r="L122" s="303"/>
      <c r="M122" s="303"/>
      <c r="N122" s="303"/>
      <c r="O122" s="303"/>
      <c r="P122" s="303"/>
      <c r="Q122" s="303"/>
      <c r="R122" s="303"/>
      <c r="S122" s="303"/>
      <c r="T122" s="303"/>
      <c r="U122" s="303"/>
      <c r="V122" s="303"/>
    </row>
    <row r="123" spans="10:22" ht="11.4">
      <c r="J123" s="303"/>
      <c r="K123" s="303"/>
      <c r="L123" s="303"/>
      <c r="M123" s="303"/>
      <c r="N123" s="303"/>
      <c r="O123" s="303"/>
      <c r="P123" s="303"/>
      <c r="Q123" s="303"/>
      <c r="R123" s="303"/>
      <c r="S123" s="303"/>
      <c r="T123" s="303"/>
      <c r="U123" s="303"/>
      <c r="V123" s="303"/>
    </row>
    <row r="124" spans="10:22" ht="11.4">
      <c r="J124" s="303"/>
      <c r="K124" s="303"/>
      <c r="L124" s="303"/>
      <c r="M124" s="303"/>
      <c r="N124" s="303"/>
      <c r="O124" s="303"/>
      <c r="P124" s="303"/>
      <c r="Q124" s="303"/>
      <c r="R124" s="303"/>
      <c r="S124" s="303"/>
      <c r="T124" s="303"/>
      <c r="U124" s="303"/>
      <c r="V124" s="303"/>
    </row>
    <row r="125" spans="10:22" ht="11.4">
      <c r="J125" s="303"/>
      <c r="K125" s="303"/>
      <c r="L125" s="303"/>
      <c r="M125" s="303"/>
      <c r="N125" s="303"/>
      <c r="O125" s="303"/>
      <c r="P125" s="303"/>
      <c r="Q125" s="303"/>
      <c r="R125" s="303"/>
      <c r="S125" s="303"/>
      <c r="T125" s="303"/>
      <c r="U125" s="303"/>
      <c r="V125" s="303"/>
    </row>
    <row r="126" spans="10:22" ht="11.4">
      <c r="J126" s="303"/>
      <c r="K126" s="303"/>
      <c r="L126" s="303"/>
      <c r="M126" s="303"/>
      <c r="N126" s="303"/>
      <c r="O126" s="303"/>
      <c r="P126" s="303"/>
      <c r="Q126" s="303"/>
      <c r="R126" s="303"/>
      <c r="S126" s="303"/>
      <c r="T126" s="303"/>
      <c r="U126" s="303"/>
      <c r="V126" s="303"/>
    </row>
    <row r="127" spans="10:22" ht="11.4">
      <c r="J127" s="303"/>
      <c r="K127" s="303"/>
      <c r="L127" s="303"/>
      <c r="M127" s="303"/>
      <c r="N127" s="303"/>
      <c r="O127" s="303"/>
      <c r="P127" s="303"/>
      <c r="Q127" s="303"/>
      <c r="R127" s="303"/>
      <c r="S127" s="303"/>
      <c r="T127" s="303"/>
      <c r="U127" s="303"/>
      <c r="V127" s="303"/>
    </row>
    <row r="128" spans="10:22" ht="11.4">
      <c r="J128" s="303"/>
      <c r="K128" s="303"/>
      <c r="L128" s="303"/>
      <c r="M128" s="303"/>
      <c r="N128" s="303"/>
      <c r="O128" s="303"/>
      <c r="P128" s="303"/>
      <c r="Q128" s="303"/>
      <c r="R128" s="303"/>
      <c r="S128" s="303"/>
      <c r="T128" s="303"/>
      <c r="U128" s="303"/>
      <c r="V128" s="303"/>
    </row>
    <row r="129" spans="10:22" ht="11.4">
      <c r="J129" s="303"/>
      <c r="K129" s="303"/>
      <c r="L129" s="303"/>
      <c r="M129" s="303"/>
      <c r="N129" s="303"/>
      <c r="O129" s="303"/>
      <c r="P129" s="303"/>
      <c r="Q129" s="303"/>
      <c r="R129" s="303"/>
      <c r="S129" s="303"/>
      <c r="T129" s="303"/>
      <c r="U129" s="303"/>
      <c r="V129" s="303"/>
    </row>
    <row r="130" spans="10:22" ht="11.4">
      <c r="J130" s="303"/>
      <c r="K130" s="303"/>
      <c r="L130" s="303"/>
      <c r="M130" s="303"/>
      <c r="N130" s="303"/>
      <c r="O130" s="303"/>
      <c r="P130" s="303"/>
      <c r="Q130" s="303"/>
      <c r="R130" s="303"/>
      <c r="S130" s="303"/>
      <c r="T130" s="303"/>
      <c r="U130" s="303"/>
      <c r="V130" s="303"/>
    </row>
    <row r="131" spans="10:22" ht="11.4">
      <c r="J131" s="303"/>
      <c r="K131" s="303"/>
      <c r="L131" s="303"/>
      <c r="M131" s="303"/>
      <c r="N131" s="303"/>
      <c r="O131" s="303"/>
      <c r="P131" s="303"/>
      <c r="Q131" s="303"/>
      <c r="R131" s="303"/>
      <c r="S131" s="303"/>
      <c r="T131" s="303"/>
      <c r="U131" s="303"/>
      <c r="V131" s="303"/>
    </row>
    <row r="132" spans="10:22" ht="11.4">
      <c r="J132" s="303"/>
      <c r="K132" s="303"/>
      <c r="L132" s="303"/>
      <c r="M132" s="303"/>
      <c r="N132" s="303"/>
      <c r="O132" s="303"/>
      <c r="P132" s="303"/>
      <c r="Q132" s="303"/>
      <c r="R132" s="303"/>
      <c r="S132" s="303"/>
      <c r="T132" s="303"/>
      <c r="U132" s="303"/>
      <c r="V132" s="303"/>
    </row>
    <row r="133" spans="10:22" ht="11.4">
      <c r="J133" s="303"/>
      <c r="K133" s="303"/>
      <c r="L133" s="303"/>
      <c r="M133" s="303"/>
      <c r="N133" s="303"/>
      <c r="O133" s="303"/>
      <c r="P133" s="303"/>
      <c r="Q133" s="303"/>
      <c r="R133" s="303"/>
      <c r="S133" s="303"/>
      <c r="T133" s="303"/>
      <c r="U133" s="303"/>
      <c r="V133" s="303"/>
    </row>
    <row r="134" spans="10:22" ht="11.4">
      <c r="J134" s="303"/>
      <c r="K134" s="303"/>
      <c r="L134" s="303"/>
      <c r="M134" s="303"/>
      <c r="N134" s="303"/>
      <c r="O134" s="303"/>
      <c r="P134" s="303"/>
      <c r="Q134" s="303"/>
      <c r="R134" s="303"/>
      <c r="S134" s="303"/>
      <c r="T134" s="303"/>
      <c r="U134" s="303"/>
      <c r="V134" s="303"/>
    </row>
    <row r="135" spans="10:22" ht="11.4">
      <c r="J135" s="303"/>
      <c r="K135" s="303"/>
      <c r="L135" s="303"/>
      <c r="M135" s="303"/>
      <c r="N135" s="303"/>
      <c r="O135" s="303"/>
      <c r="P135" s="303"/>
      <c r="Q135" s="303"/>
      <c r="R135" s="303"/>
      <c r="S135" s="303"/>
      <c r="T135" s="303"/>
      <c r="U135" s="303"/>
      <c r="V135" s="303"/>
    </row>
    <row r="136" spans="10:22" ht="11.4">
      <c r="J136" s="303"/>
      <c r="K136" s="303"/>
      <c r="L136" s="303"/>
      <c r="M136" s="303"/>
      <c r="N136" s="303"/>
      <c r="O136" s="303"/>
      <c r="P136" s="303"/>
      <c r="Q136" s="303"/>
      <c r="R136" s="303"/>
      <c r="S136" s="303"/>
      <c r="T136" s="303"/>
      <c r="U136" s="303"/>
      <c r="V136" s="303"/>
    </row>
    <row r="137" spans="10:22" ht="11.4">
      <c r="J137" s="303"/>
      <c r="K137" s="303"/>
      <c r="L137" s="303"/>
      <c r="M137" s="303"/>
      <c r="N137" s="303"/>
      <c r="O137" s="303"/>
      <c r="P137" s="303"/>
      <c r="Q137" s="303"/>
      <c r="R137" s="303"/>
      <c r="S137" s="303"/>
      <c r="T137" s="303"/>
      <c r="U137" s="303"/>
      <c r="V137" s="303"/>
    </row>
    <row r="138" spans="10:22" ht="11.4">
      <c r="J138" s="303"/>
      <c r="K138" s="303"/>
      <c r="L138" s="303"/>
      <c r="M138" s="303"/>
      <c r="N138" s="303"/>
      <c r="O138" s="303"/>
      <c r="P138" s="303"/>
      <c r="Q138" s="303"/>
      <c r="R138" s="303"/>
      <c r="S138" s="303"/>
      <c r="T138" s="303"/>
      <c r="U138" s="303"/>
      <c r="V138" s="303"/>
    </row>
    <row r="139" spans="10:22" ht="11.4">
      <c r="J139" s="303"/>
      <c r="K139" s="303"/>
      <c r="L139" s="303"/>
      <c r="M139" s="303"/>
      <c r="N139" s="303"/>
      <c r="O139" s="303"/>
      <c r="P139" s="303"/>
      <c r="Q139" s="303"/>
      <c r="R139" s="303"/>
      <c r="S139" s="303"/>
      <c r="T139" s="303"/>
      <c r="U139" s="303"/>
      <c r="V139" s="303"/>
    </row>
    <row r="140" spans="10:22" ht="11.4">
      <c r="J140" s="303"/>
      <c r="K140" s="303"/>
      <c r="L140" s="303"/>
      <c r="M140" s="303"/>
      <c r="N140" s="303"/>
      <c r="O140" s="303"/>
      <c r="P140" s="303"/>
      <c r="Q140" s="303"/>
      <c r="R140" s="303"/>
      <c r="S140" s="303"/>
      <c r="T140" s="303"/>
      <c r="U140" s="303"/>
      <c r="V140" s="303"/>
    </row>
    <row r="141" spans="10:22" ht="11.4">
      <c r="J141" s="303"/>
      <c r="K141" s="303"/>
      <c r="L141" s="303"/>
      <c r="M141" s="303"/>
      <c r="N141" s="303"/>
      <c r="O141" s="303"/>
      <c r="P141" s="303"/>
      <c r="Q141" s="303"/>
      <c r="R141" s="303"/>
      <c r="S141" s="303"/>
      <c r="T141" s="303"/>
      <c r="U141" s="303"/>
      <c r="V141" s="303"/>
    </row>
    <row r="142" spans="10:22" ht="11.4">
      <c r="J142" s="303"/>
      <c r="K142" s="303"/>
      <c r="L142" s="303"/>
      <c r="M142" s="303"/>
      <c r="N142" s="303"/>
      <c r="O142" s="303"/>
      <c r="P142" s="303"/>
      <c r="Q142" s="303"/>
      <c r="R142" s="303"/>
      <c r="S142" s="303"/>
      <c r="T142" s="303"/>
      <c r="U142" s="303"/>
      <c r="V142" s="303"/>
    </row>
    <row r="143" spans="10:22" ht="11.4">
      <c r="J143" s="303"/>
      <c r="K143" s="303"/>
      <c r="L143" s="303"/>
      <c r="M143" s="303"/>
      <c r="N143" s="303"/>
      <c r="O143" s="303"/>
      <c r="P143" s="303"/>
      <c r="Q143" s="303"/>
      <c r="R143" s="303"/>
      <c r="S143" s="303"/>
      <c r="T143" s="303"/>
      <c r="U143" s="303"/>
      <c r="V143" s="303"/>
    </row>
    <row r="144" spans="10:22" ht="11.4">
      <c r="J144" s="303"/>
      <c r="K144" s="303"/>
      <c r="L144" s="303"/>
      <c r="M144" s="303"/>
      <c r="N144" s="303"/>
      <c r="O144" s="303"/>
      <c r="P144" s="303"/>
      <c r="Q144" s="303"/>
      <c r="R144" s="303"/>
      <c r="S144" s="303"/>
      <c r="T144" s="303"/>
      <c r="U144" s="303"/>
      <c r="V144" s="303"/>
    </row>
    <row r="145" spans="10:22" ht="11.4">
      <c r="J145" s="303"/>
      <c r="K145" s="303"/>
      <c r="L145" s="303"/>
      <c r="M145" s="303"/>
      <c r="N145" s="303"/>
      <c r="O145" s="303"/>
      <c r="P145" s="303"/>
      <c r="Q145" s="303"/>
      <c r="R145" s="303"/>
      <c r="S145" s="303"/>
      <c r="T145" s="303"/>
      <c r="U145" s="303"/>
      <c r="V145" s="303"/>
    </row>
    <row r="146" spans="10:22" ht="11.4">
      <c r="J146" s="303"/>
      <c r="K146" s="303"/>
      <c r="L146" s="303"/>
      <c r="M146" s="303"/>
      <c r="N146" s="303"/>
      <c r="O146" s="303"/>
      <c r="P146" s="303"/>
      <c r="Q146" s="303"/>
      <c r="R146" s="303"/>
      <c r="S146" s="303"/>
      <c r="T146" s="303"/>
      <c r="U146" s="303"/>
      <c r="V146" s="303"/>
    </row>
    <row r="147" spans="10:22" ht="11.4">
      <c r="J147" s="303"/>
      <c r="K147" s="303"/>
      <c r="L147" s="303"/>
      <c r="M147" s="303"/>
      <c r="N147" s="303"/>
      <c r="O147" s="303"/>
      <c r="P147" s="303"/>
      <c r="Q147" s="303"/>
      <c r="R147" s="303"/>
      <c r="S147" s="303"/>
      <c r="T147" s="303"/>
      <c r="U147" s="303"/>
      <c r="V147" s="303"/>
    </row>
    <row r="148" spans="10:22" ht="11.4">
      <c r="J148" s="303"/>
      <c r="K148" s="303"/>
      <c r="L148" s="303"/>
      <c r="M148" s="303"/>
      <c r="N148" s="303"/>
      <c r="O148" s="303"/>
      <c r="P148" s="303"/>
      <c r="Q148" s="303"/>
      <c r="R148" s="303"/>
      <c r="S148" s="303"/>
      <c r="T148" s="303"/>
      <c r="U148" s="303"/>
      <c r="V148" s="303"/>
    </row>
    <row r="149" spans="10:22" ht="11.4">
      <c r="J149" s="303"/>
      <c r="K149" s="303"/>
      <c r="L149" s="303"/>
      <c r="M149" s="303"/>
      <c r="N149" s="303"/>
      <c r="O149" s="303"/>
      <c r="P149" s="303"/>
      <c r="Q149" s="303"/>
      <c r="R149" s="303"/>
      <c r="S149" s="303"/>
      <c r="T149" s="303"/>
      <c r="U149" s="303"/>
      <c r="V149" s="303"/>
    </row>
    <row r="150" spans="10:22" ht="11.4">
      <c r="J150" s="303"/>
      <c r="K150" s="303"/>
      <c r="L150" s="303"/>
      <c r="M150" s="303"/>
      <c r="N150" s="303"/>
      <c r="O150" s="303"/>
      <c r="P150" s="303"/>
      <c r="Q150" s="303"/>
      <c r="R150" s="303"/>
      <c r="S150" s="303"/>
      <c r="T150" s="303"/>
      <c r="U150" s="303"/>
      <c r="V150" s="303"/>
    </row>
    <row r="151" spans="10:22" ht="11.4">
      <c r="J151" s="303"/>
      <c r="K151" s="303"/>
      <c r="L151" s="303"/>
      <c r="M151" s="303"/>
      <c r="N151" s="303"/>
      <c r="O151" s="303"/>
      <c r="P151" s="303"/>
      <c r="Q151" s="303"/>
      <c r="R151" s="303"/>
      <c r="S151" s="303"/>
      <c r="T151" s="303"/>
      <c r="U151" s="303"/>
      <c r="V151" s="303"/>
    </row>
    <row r="152" spans="10:22" ht="11.4">
      <c r="J152" s="303"/>
      <c r="K152" s="303"/>
      <c r="L152" s="303"/>
      <c r="M152" s="303"/>
      <c r="N152" s="303"/>
      <c r="O152" s="303"/>
      <c r="P152" s="303"/>
      <c r="Q152" s="303"/>
      <c r="R152" s="303"/>
      <c r="S152" s="303"/>
      <c r="T152" s="303"/>
      <c r="U152" s="303"/>
      <c r="V152" s="303"/>
    </row>
    <row r="153" spans="10:22" ht="11.4">
      <c r="J153" s="303"/>
      <c r="K153" s="303"/>
      <c r="L153" s="303"/>
      <c r="M153" s="303"/>
      <c r="N153" s="303"/>
      <c r="O153" s="303"/>
      <c r="P153" s="303"/>
      <c r="Q153" s="303"/>
      <c r="R153" s="303"/>
      <c r="S153" s="303"/>
      <c r="T153" s="303"/>
      <c r="U153" s="303"/>
      <c r="V153" s="303"/>
    </row>
    <row r="154" spans="10:22" ht="11.4">
      <c r="J154" s="303"/>
      <c r="K154" s="303"/>
      <c r="L154" s="303"/>
      <c r="M154" s="303"/>
      <c r="N154" s="303"/>
      <c r="O154" s="303"/>
      <c r="P154" s="303"/>
      <c r="Q154" s="303"/>
      <c r="R154" s="303"/>
      <c r="S154" s="303"/>
      <c r="T154" s="303"/>
      <c r="U154" s="303"/>
      <c r="V154" s="303"/>
    </row>
    <row r="155" spans="10:22" ht="11.4">
      <c r="J155" s="303"/>
      <c r="K155" s="303"/>
      <c r="L155" s="303"/>
      <c r="M155" s="303"/>
      <c r="N155" s="303"/>
      <c r="O155" s="303"/>
      <c r="P155" s="303"/>
      <c r="Q155" s="303"/>
      <c r="R155" s="303"/>
      <c r="S155" s="303"/>
      <c r="T155" s="303"/>
      <c r="U155" s="303"/>
      <c r="V155" s="303"/>
    </row>
    <row r="156" spans="10:22" ht="11.4">
      <c r="J156" s="303"/>
      <c r="K156" s="303"/>
      <c r="L156" s="303"/>
      <c r="M156" s="303"/>
      <c r="N156" s="303"/>
      <c r="O156" s="303"/>
      <c r="P156" s="303"/>
      <c r="Q156" s="303"/>
      <c r="R156" s="303"/>
      <c r="S156" s="303"/>
      <c r="T156" s="303"/>
      <c r="U156" s="303"/>
      <c r="V156" s="303"/>
    </row>
    <row r="157" spans="10:22" ht="11.4">
      <c r="J157" s="303"/>
      <c r="K157" s="303"/>
      <c r="L157" s="303"/>
      <c r="M157" s="303"/>
      <c r="N157" s="303"/>
      <c r="O157" s="303"/>
      <c r="P157" s="303"/>
      <c r="Q157" s="303"/>
      <c r="R157" s="303"/>
      <c r="S157" s="303"/>
      <c r="T157" s="303"/>
      <c r="U157" s="303"/>
      <c r="V157" s="303"/>
    </row>
    <row r="158" spans="10:22" ht="11.4">
      <c r="J158" s="303"/>
      <c r="K158" s="303"/>
      <c r="L158" s="303"/>
      <c r="M158" s="303"/>
      <c r="N158" s="303"/>
      <c r="O158" s="303"/>
      <c r="P158" s="303"/>
      <c r="Q158" s="303"/>
      <c r="R158" s="303"/>
      <c r="S158" s="303"/>
      <c r="T158" s="303"/>
      <c r="U158" s="303"/>
      <c r="V158" s="303"/>
    </row>
    <row r="159" spans="10:22" ht="11.4">
      <c r="J159" s="303"/>
      <c r="K159" s="303"/>
      <c r="L159" s="303"/>
      <c r="M159" s="303"/>
      <c r="N159" s="303"/>
      <c r="O159" s="303"/>
      <c r="P159" s="303"/>
      <c r="Q159" s="303"/>
      <c r="R159" s="303"/>
      <c r="S159" s="303"/>
      <c r="T159" s="303"/>
      <c r="U159" s="303"/>
      <c r="V159" s="303"/>
    </row>
    <row r="160" spans="10:22" ht="11.4">
      <c r="J160" s="303"/>
      <c r="K160" s="303"/>
      <c r="L160" s="303"/>
      <c r="M160" s="303"/>
      <c r="N160" s="303"/>
      <c r="O160" s="303"/>
      <c r="P160" s="303"/>
      <c r="Q160" s="303"/>
      <c r="R160" s="303"/>
      <c r="S160" s="303"/>
      <c r="T160" s="303"/>
      <c r="U160" s="303"/>
      <c r="V160" s="303"/>
    </row>
    <row r="161" spans="10:22" ht="11.4">
      <c r="J161" s="303"/>
      <c r="K161" s="303"/>
      <c r="L161" s="303"/>
      <c r="M161" s="303"/>
      <c r="N161" s="303"/>
      <c r="O161" s="303"/>
      <c r="P161" s="303"/>
      <c r="Q161" s="303"/>
      <c r="R161" s="303"/>
      <c r="S161" s="303"/>
      <c r="T161" s="303"/>
      <c r="U161" s="303"/>
      <c r="V161" s="303"/>
    </row>
    <row r="162" spans="10:22" ht="11.4">
      <c r="J162" s="303"/>
      <c r="K162" s="303"/>
      <c r="L162" s="303"/>
      <c r="M162" s="303"/>
      <c r="N162" s="303"/>
      <c r="O162" s="303"/>
      <c r="P162" s="303"/>
      <c r="Q162" s="303"/>
      <c r="R162" s="303"/>
      <c r="S162" s="303"/>
      <c r="T162" s="303"/>
      <c r="U162" s="303"/>
      <c r="V162" s="303"/>
    </row>
    <row r="163" spans="10:22" ht="11.4">
      <c r="J163" s="303"/>
      <c r="K163" s="303"/>
      <c r="L163" s="303"/>
      <c r="M163" s="303"/>
      <c r="N163" s="303"/>
      <c r="O163" s="303"/>
      <c r="P163" s="303"/>
      <c r="Q163" s="303"/>
      <c r="R163" s="303"/>
      <c r="S163" s="303"/>
      <c r="T163" s="303"/>
      <c r="U163" s="303"/>
      <c r="V163" s="303"/>
    </row>
    <row r="164" spans="10:22" ht="11.4">
      <c r="J164" s="303"/>
      <c r="K164" s="303"/>
      <c r="L164" s="303"/>
      <c r="M164" s="303"/>
      <c r="N164" s="303"/>
      <c r="O164" s="303"/>
      <c r="P164" s="303"/>
      <c r="Q164" s="303"/>
      <c r="R164" s="303"/>
      <c r="S164" s="303"/>
      <c r="T164" s="303"/>
      <c r="U164" s="303"/>
      <c r="V164" s="303"/>
    </row>
    <row r="165" spans="10:22" ht="11.4">
      <c r="J165" s="303"/>
      <c r="K165" s="303"/>
      <c r="L165" s="303"/>
      <c r="M165" s="303"/>
      <c r="N165" s="303"/>
      <c r="O165" s="303"/>
      <c r="P165" s="303"/>
      <c r="Q165" s="303"/>
      <c r="R165" s="303"/>
      <c r="S165" s="303"/>
      <c r="T165" s="303"/>
      <c r="U165" s="303"/>
      <c r="V165" s="303"/>
    </row>
    <row r="166" spans="10:22" ht="11.4">
      <c r="J166" s="303"/>
      <c r="K166" s="303"/>
      <c r="L166" s="303"/>
      <c r="M166" s="303"/>
      <c r="N166" s="303"/>
      <c r="O166" s="303"/>
      <c r="P166" s="303"/>
      <c r="Q166" s="303"/>
      <c r="R166" s="303"/>
      <c r="S166" s="303"/>
      <c r="T166" s="303"/>
      <c r="U166" s="303"/>
      <c r="V166" s="303"/>
    </row>
    <row r="167" spans="10:22" ht="11.4">
      <c r="J167" s="303"/>
      <c r="K167" s="303"/>
      <c r="L167" s="303"/>
      <c r="M167" s="303"/>
      <c r="N167" s="303"/>
      <c r="O167" s="303"/>
      <c r="P167" s="303"/>
      <c r="Q167" s="303"/>
      <c r="R167" s="303"/>
      <c r="S167" s="303"/>
      <c r="T167" s="303"/>
      <c r="U167" s="303"/>
      <c r="V167" s="303"/>
    </row>
    <row r="168" spans="10:22" ht="11.4">
      <c r="J168" s="303"/>
      <c r="K168" s="303"/>
      <c r="L168" s="303"/>
      <c r="M168" s="303"/>
      <c r="N168" s="303"/>
      <c r="O168" s="303"/>
      <c r="P168" s="303"/>
      <c r="Q168" s="303"/>
      <c r="R168" s="303"/>
      <c r="S168" s="303"/>
      <c r="T168" s="303"/>
      <c r="U168" s="303"/>
      <c r="V168" s="303"/>
    </row>
    <row r="169" spans="10:22" ht="11.4">
      <c r="J169" s="303"/>
      <c r="K169" s="303"/>
      <c r="L169" s="303"/>
      <c r="M169" s="303"/>
      <c r="N169" s="303"/>
      <c r="O169" s="303"/>
      <c r="P169" s="303"/>
      <c r="Q169" s="303"/>
      <c r="R169" s="303"/>
      <c r="S169" s="303"/>
      <c r="T169" s="303"/>
      <c r="U169" s="303"/>
      <c r="V169" s="303"/>
    </row>
    <row r="170" spans="10:22" ht="11.4">
      <c r="J170" s="303"/>
      <c r="K170" s="303"/>
      <c r="L170" s="303"/>
      <c r="M170" s="303"/>
      <c r="N170" s="303"/>
      <c r="O170" s="303"/>
      <c r="P170" s="303"/>
      <c r="Q170" s="303"/>
      <c r="R170" s="303"/>
      <c r="S170" s="303"/>
      <c r="T170" s="303"/>
      <c r="U170" s="303"/>
      <c r="V170" s="303"/>
    </row>
    <row r="171" spans="10:22" ht="11.4">
      <c r="J171" s="303"/>
      <c r="K171" s="303"/>
      <c r="L171" s="303"/>
      <c r="M171" s="303"/>
      <c r="N171" s="303"/>
      <c r="O171" s="303"/>
      <c r="P171" s="303"/>
      <c r="Q171" s="303"/>
      <c r="R171" s="303"/>
      <c r="S171" s="303"/>
      <c r="T171" s="303"/>
      <c r="U171" s="303"/>
      <c r="V171" s="303"/>
    </row>
    <row r="172" spans="10:22" ht="11.4">
      <c r="J172" s="303"/>
      <c r="K172" s="303"/>
      <c r="L172" s="303"/>
      <c r="M172" s="303"/>
      <c r="N172" s="303"/>
      <c r="O172" s="303"/>
      <c r="P172" s="303"/>
      <c r="Q172" s="303"/>
      <c r="R172" s="303"/>
      <c r="S172" s="303"/>
      <c r="T172" s="303"/>
      <c r="U172" s="303"/>
      <c r="V172" s="303"/>
    </row>
    <row r="173" spans="10:22" ht="11.4">
      <c r="J173" s="303"/>
      <c r="K173" s="303"/>
      <c r="L173" s="303"/>
      <c r="M173" s="303"/>
      <c r="N173" s="303"/>
      <c r="O173" s="303"/>
      <c r="P173" s="303"/>
      <c r="Q173" s="303"/>
      <c r="R173" s="303"/>
      <c r="S173" s="303"/>
      <c r="T173" s="303"/>
      <c r="U173" s="303"/>
      <c r="V173" s="303"/>
    </row>
    <row r="174" spans="10:22" ht="11.4">
      <c r="J174" s="303"/>
      <c r="K174" s="303"/>
      <c r="L174" s="303"/>
      <c r="M174" s="303"/>
      <c r="N174" s="303"/>
      <c r="O174" s="303"/>
      <c r="P174" s="303"/>
      <c r="Q174" s="303"/>
      <c r="R174" s="303"/>
      <c r="S174" s="303"/>
      <c r="T174" s="303"/>
      <c r="U174" s="303"/>
      <c r="V174" s="303"/>
    </row>
    <row r="175" spans="10:22" ht="11.4">
      <c r="J175" s="303"/>
      <c r="K175" s="303"/>
      <c r="L175" s="303"/>
      <c r="M175" s="303"/>
      <c r="N175" s="303"/>
      <c r="O175" s="303"/>
      <c r="P175" s="303"/>
      <c r="Q175" s="303"/>
      <c r="R175" s="303"/>
      <c r="S175" s="303"/>
      <c r="T175" s="303"/>
      <c r="U175" s="303"/>
      <c r="V175" s="303"/>
    </row>
    <row r="176" spans="10:22" ht="11.4">
      <c r="J176" s="303"/>
      <c r="K176" s="303"/>
      <c r="L176" s="303"/>
      <c r="M176" s="303"/>
      <c r="N176" s="303"/>
      <c r="O176" s="303"/>
      <c r="P176" s="303"/>
      <c r="Q176" s="303"/>
      <c r="R176" s="303"/>
      <c r="S176" s="303"/>
      <c r="T176" s="303"/>
      <c r="U176" s="303"/>
      <c r="V176" s="303"/>
    </row>
    <row r="177" spans="10:22" ht="11.4">
      <c r="J177" s="303"/>
      <c r="K177" s="303"/>
      <c r="L177" s="303"/>
      <c r="M177" s="303"/>
      <c r="N177" s="303"/>
      <c r="O177" s="303"/>
      <c r="P177" s="303"/>
      <c r="Q177" s="303"/>
      <c r="R177" s="303"/>
      <c r="S177" s="303"/>
      <c r="T177" s="303"/>
      <c r="U177" s="303"/>
      <c r="V177" s="303"/>
    </row>
    <row r="178" spans="10:22" ht="11.4">
      <c r="J178" s="303"/>
      <c r="K178" s="303"/>
      <c r="L178" s="303"/>
      <c r="M178" s="303"/>
      <c r="N178" s="303"/>
      <c r="O178" s="303"/>
      <c r="P178" s="303"/>
      <c r="Q178" s="303"/>
      <c r="R178" s="303"/>
      <c r="S178" s="303"/>
      <c r="T178" s="303"/>
      <c r="U178" s="303"/>
      <c r="V178" s="303"/>
    </row>
    <row r="179" spans="10:22" ht="11.4">
      <c r="J179" s="303"/>
      <c r="K179" s="303"/>
      <c r="L179" s="303"/>
      <c r="M179" s="303"/>
      <c r="N179" s="303"/>
      <c r="O179" s="303"/>
      <c r="P179" s="303"/>
      <c r="Q179" s="303"/>
      <c r="R179" s="303"/>
      <c r="S179" s="303"/>
      <c r="T179" s="303"/>
      <c r="U179" s="303"/>
      <c r="V179" s="303"/>
    </row>
    <row r="180" spans="10:22" ht="11.4">
      <c r="J180" s="303"/>
      <c r="K180" s="303"/>
      <c r="L180" s="303"/>
      <c r="M180" s="303"/>
      <c r="N180" s="303"/>
      <c r="O180" s="303"/>
      <c r="P180" s="303"/>
      <c r="Q180" s="303"/>
      <c r="R180" s="303"/>
      <c r="S180" s="303"/>
      <c r="T180" s="303"/>
      <c r="U180" s="303"/>
      <c r="V180" s="303"/>
    </row>
    <row r="181" spans="10:22" ht="11.4">
      <c r="J181" s="303"/>
      <c r="K181" s="303"/>
      <c r="L181" s="303"/>
      <c r="M181" s="303"/>
      <c r="N181" s="303"/>
      <c r="O181" s="303"/>
      <c r="P181" s="303"/>
      <c r="Q181" s="303"/>
      <c r="R181" s="303"/>
      <c r="S181" s="303"/>
      <c r="T181" s="303"/>
      <c r="U181" s="303"/>
      <c r="V181" s="303"/>
    </row>
    <row r="182" spans="10:22" ht="11.4">
      <c r="J182" s="303"/>
      <c r="K182" s="303"/>
      <c r="L182" s="303"/>
      <c r="M182" s="303"/>
      <c r="N182" s="303"/>
      <c r="O182" s="303"/>
      <c r="P182" s="303"/>
      <c r="Q182" s="303"/>
      <c r="R182" s="303"/>
      <c r="S182" s="303"/>
      <c r="T182" s="303"/>
      <c r="U182" s="303"/>
      <c r="V182" s="303"/>
    </row>
    <row r="183" spans="10:22" ht="11.4">
      <c r="J183" s="303"/>
      <c r="K183" s="303"/>
      <c r="L183" s="303"/>
      <c r="M183" s="303"/>
      <c r="N183" s="303"/>
      <c r="O183" s="303"/>
      <c r="P183" s="303"/>
      <c r="Q183" s="303"/>
      <c r="R183" s="303"/>
      <c r="S183" s="303"/>
      <c r="T183" s="303"/>
      <c r="U183" s="303"/>
      <c r="V183" s="303"/>
    </row>
    <row r="184" spans="10:22" ht="11.4">
      <c r="J184" s="303"/>
      <c r="K184" s="303"/>
      <c r="L184" s="303"/>
      <c r="M184" s="303"/>
      <c r="N184" s="303"/>
      <c r="O184" s="303"/>
      <c r="P184" s="303"/>
      <c r="Q184" s="303"/>
      <c r="R184" s="303"/>
      <c r="S184" s="303"/>
      <c r="T184" s="303"/>
      <c r="U184" s="303"/>
      <c r="V184" s="303"/>
    </row>
    <row r="185" spans="10:22" ht="11.4">
      <c r="J185" s="303"/>
      <c r="K185" s="303"/>
      <c r="L185" s="303"/>
      <c r="M185" s="303"/>
      <c r="N185" s="303"/>
      <c r="O185" s="303"/>
      <c r="P185" s="303"/>
      <c r="Q185" s="303"/>
      <c r="R185" s="303"/>
      <c r="S185" s="303"/>
      <c r="T185" s="303"/>
      <c r="U185" s="303"/>
      <c r="V185" s="303"/>
    </row>
    <row r="186" spans="10:22" ht="11.4">
      <c r="J186" s="303"/>
      <c r="K186" s="303"/>
      <c r="L186" s="303"/>
      <c r="M186" s="303"/>
      <c r="N186" s="303"/>
      <c r="O186" s="303"/>
      <c r="P186" s="303"/>
      <c r="Q186" s="303"/>
      <c r="R186" s="303"/>
      <c r="S186" s="303"/>
      <c r="T186" s="303"/>
      <c r="U186" s="303"/>
      <c r="V186" s="303"/>
    </row>
    <row r="187" spans="10:22" ht="11.4">
      <c r="J187" s="303"/>
      <c r="K187" s="303"/>
      <c r="L187" s="303"/>
      <c r="M187" s="303"/>
      <c r="N187" s="303"/>
      <c r="O187" s="303"/>
      <c r="P187" s="303"/>
      <c r="Q187" s="303"/>
      <c r="R187" s="303"/>
      <c r="S187" s="303"/>
      <c r="T187" s="303"/>
      <c r="U187" s="303"/>
      <c r="V187" s="303"/>
    </row>
    <row r="188" spans="10:22" ht="11.4">
      <c r="J188" s="303"/>
      <c r="K188" s="303"/>
      <c r="L188" s="303"/>
      <c r="M188" s="303"/>
      <c r="N188" s="303"/>
      <c r="O188" s="303"/>
      <c r="P188" s="303"/>
      <c r="Q188" s="303"/>
      <c r="R188" s="303"/>
      <c r="S188" s="303"/>
      <c r="T188" s="303"/>
      <c r="U188" s="303"/>
      <c r="V188" s="303"/>
    </row>
    <row r="189" spans="10:22" ht="11.4">
      <c r="J189" s="303"/>
      <c r="K189" s="303"/>
      <c r="L189" s="303"/>
      <c r="M189" s="303"/>
      <c r="N189" s="303"/>
      <c r="O189" s="303"/>
      <c r="P189" s="303"/>
      <c r="Q189" s="303"/>
      <c r="R189" s="303"/>
      <c r="S189" s="303"/>
      <c r="T189" s="303"/>
      <c r="U189" s="303"/>
      <c r="V189" s="303"/>
    </row>
    <row r="190" spans="10:22" ht="11.4">
      <c r="J190" s="303"/>
      <c r="K190" s="303"/>
      <c r="L190" s="303"/>
      <c r="M190" s="303"/>
      <c r="N190" s="303"/>
      <c r="O190" s="303"/>
      <c r="P190" s="303"/>
      <c r="Q190" s="303"/>
      <c r="R190" s="303"/>
      <c r="S190" s="303"/>
      <c r="T190" s="303"/>
      <c r="U190" s="303"/>
      <c r="V190" s="303"/>
    </row>
    <row r="191" spans="10:22" ht="11.4">
      <c r="J191" s="303"/>
      <c r="K191" s="303"/>
      <c r="L191" s="303"/>
      <c r="M191" s="303"/>
      <c r="N191" s="303"/>
      <c r="O191" s="303"/>
      <c r="P191" s="303"/>
      <c r="Q191" s="303"/>
      <c r="R191" s="303"/>
      <c r="S191" s="303"/>
      <c r="T191" s="303"/>
      <c r="U191" s="303"/>
      <c r="V191" s="303"/>
    </row>
    <row r="192" spans="10:22" ht="11.4">
      <c r="J192" s="303"/>
      <c r="K192" s="303"/>
      <c r="L192" s="303"/>
      <c r="M192" s="303"/>
      <c r="N192" s="303"/>
      <c r="O192" s="303"/>
      <c r="P192" s="303"/>
      <c r="Q192" s="303"/>
      <c r="R192" s="303"/>
      <c r="S192" s="303"/>
      <c r="T192" s="303"/>
      <c r="U192" s="303"/>
      <c r="V192" s="303"/>
    </row>
    <row r="193" spans="10:22" ht="11.4">
      <c r="J193" s="303"/>
      <c r="K193" s="303"/>
      <c r="L193" s="303"/>
      <c r="M193" s="303"/>
      <c r="N193" s="303"/>
      <c r="O193" s="303"/>
      <c r="P193" s="303"/>
      <c r="Q193" s="303"/>
      <c r="R193" s="303"/>
      <c r="S193" s="303"/>
      <c r="T193" s="303"/>
      <c r="U193" s="303"/>
      <c r="V193" s="303"/>
    </row>
    <row r="194" spans="10:22" ht="11.4">
      <c r="J194" s="303"/>
      <c r="K194" s="303"/>
      <c r="L194" s="303"/>
      <c r="M194" s="303"/>
      <c r="N194" s="303"/>
      <c r="O194" s="303"/>
      <c r="P194" s="303"/>
      <c r="Q194" s="303"/>
      <c r="R194" s="303"/>
      <c r="S194" s="303"/>
      <c r="T194" s="303"/>
      <c r="U194" s="303"/>
      <c r="V194" s="303"/>
    </row>
    <row r="195" spans="10:22" ht="11.4">
      <c r="J195" s="303"/>
      <c r="K195" s="303"/>
      <c r="L195" s="303"/>
      <c r="M195" s="303"/>
      <c r="N195" s="303"/>
      <c r="O195" s="303"/>
      <c r="P195" s="303"/>
      <c r="Q195" s="303"/>
      <c r="R195" s="303"/>
      <c r="S195" s="303"/>
      <c r="T195" s="303"/>
      <c r="U195" s="303"/>
      <c r="V195" s="303"/>
    </row>
    <row r="196" spans="10:22" ht="11.4">
      <c r="J196" s="303"/>
      <c r="K196" s="303"/>
      <c r="L196" s="303"/>
      <c r="M196" s="303"/>
      <c r="N196" s="303"/>
      <c r="O196" s="303"/>
      <c r="P196" s="303"/>
      <c r="Q196" s="303"/>
      <c r="R196" s="303"/>
      <c r="S196" s="303"/>
      <c r="T196" s="303"/>
      <c r="U196" s="303"/>
      <c r="V196" s="303"/>
    </row>
    <row r="197" spans="10:22" ht="11.4">
      <c r="J197" s="303"/>
      <c r="K197" s="303"/>
      <c r="L197" s="303"/>
      <c r="M197" s="303"/>
      <c r="N197" s="303"/>
      <c r="O197" s="303"/>
      <c r="P197" s="303"/>
      <c r="Q197" s="303"/>
      <c r="R197" s="303"/>
      <c r="S197" s="303"/>
      <c r="T197" s="303"/>
      <c r="U197" s="303"/>
      <c r="V197" s="303"/>
    </row>
    <row r="198" spans="10:22" ht="11.4">
      <c r="J198" s="303"/>
      <c r="K198" s="303"/>
      <c r="L198" s="303"/>
      <c r="M198" s="303"/>
      <c r="N198" s="303"/>
      <c r="O198" s="303"/>
      <c r="P198" s="303"/>
      <c r="Q198" s="303"/>
      <c r="R198" s="303"/>
      <c r="S198" s="303"/>
      <c r="T198" s="303"/>
      <c r="U198" s="303"/>
      <c r="V198" s="303"/>
    </row>
    <row r="199" spans="10:22" ht="11.4">
      <c r="J199" s="303"/>
      <c r="K199" s="303"/>
      <c r="L199" s="303"/>
      <c r="M199" s="303"/>
      <c r="N199" s="303"/>
      <c r="O199" s="303"/>
      <c r="P199" s="303"/>
      <c r="Q199" s="303"/>
      <c r="R199" s="303"/>
      <c r="S199" s="303"/>
      <c r="T199" s="303"/>
      <c r="U199" s="303"/>
      <c r="V199" s="303"/>
    </row>
    <row r="200" spans="10:22" ht="11.4">
      <c r="J200" s="303"/>
      <c r="K200" s="303"/>
      <c r="L200" s="303"/>
      <c r="M200" s="303"/>
      <c r="N200" s="303"/>
      <c r="O200" s="303"/>
      <c r="P200" s="303"/>
      <c r="Q200" s="303"/>
      <c r="R200" s="303"/>
      <c r="S200" s="303"/>
      <c r="T200" s="303"/>
      <c r="U200" s="303"/>
      <c r="V200" s="303"/>
    </row>
    <row r="201" spans="10:22" ht="11.4">
      <c r="J201" s="303"/>
      <c r="K201" s="303"/>
      <c r="L201" s="303"/>
      <c r="M201" s="303"/>
      <c r="N201" s="303"/>
      <c r="O201" s="303"/>
      <c r="P201" s="303"/>
      <c r="Q201" s="303"/>
      <c r="R201" s="303"/>
      <c r="S201" s="303"/>
      <c r="T201" s="303"/>
      <c r="U201" s="303"/>
      <c r="V201" s="303"/>
    </row>
    <row r="202" spans="10:22" ht="11.4">
      <c r="J202" s="303"/>
      <c r="K202" s="303"/>
      <c r="L202" s="303"/>
      <c r="M202" s="303"/>
      <c r="N202" s="303"/>
      <c r="O202" s="303"/>
      <c r="P202" s="303"/>
      <c r="Q202" s="303"/>
      <c r="R202" s="303"/>
      <c r="S202" s="303"/>
      <c r="T202" s="303"/>
      <c r="U202" s="303"/>
      <c r="V202" s="303"/>
    </row>
    <row r="203" spans="10:22" ht="11.4">
      <c r="J203" s="303"/>
      <c r="K203" s="303"/>
      <c r="L203" s="303"/>
      <c r="M203" s="303"/>
      <c r="N203" s="303"/>
      <c r="O203" s="303"/>
      <c r="P203" s="303"/>
      <c r="Q203" s="303"/>
      <c r="R203" s="303"/>
      <c r="S203" s="303"/>
      <c r="T203" s="303"/>
      <c r="U203" s="303"/>
      <c r="V203" s="303"/>
    </row>
    <row r="204" spans="10:22" ht="11.4">
      <c r="J204" s="303"/>
      <c r="K204" s="303"/>
      <c r="L204" s="303"/>
      <c r="M204" s="303"/>
      <c r="N204" s="303"/>
      <c r="O204" s="303"/>
      <c r="P204" s="303"/>
      <c r="Q204" s="303"/>
      <c r="R204" s="303"/>
      <c r="S204" s="303"/>
      <c r="T204" s="303"/>
      <c r="U204" s="303"/>
      <c r="V204" s="303"/>
    </row>
    <row r="205" spans="10:22" ht="11.4">
      <c r="J205" s="303"/>
      <c r="K205" s="303"/>
      <c r="L205" s="303"/>
      <c r="M205" s="303"/>
      <c r="N205" s="303"/>
      <c r="O205" s="303"/>
      <c r="P205" s="303"/>
      <c r="Q205" s="303"/>
      <c r="R205" s="303"/>
      <c r="S205" s="303"/>
      <c r="T205" s="303"/>
      <c r="U205" s="303"/>
      <c r="V205" s="303"/>
    </row>
    <row r="206" spans="10:22" ht="11.4">
      <c r="J206" s="303"/>
      <c r="K206" s="303"/>
      <c r="L206" s="303"/>
      <c r="M206" s="303"/>
      <c r="N206" s="303"/>
      <c r="O206" s="303"/>
      <c r="P206" s="303"/>
      <c r="Q206" s="303"/>
      <c r="R206" s="303"/>
      <c r="S206" s="303"/>
      <c r="T206" s="303"/>
      <c r="U206" s="303"/>
      <c r="V206" s="303"/>
    </row>
    <row r="207" spans="10:22" ht="11.4">
      <c r="J207" s="303"/>
      <c r="K207" s="303"/>
      <c r="L207" s="303"/>
      <c r="M207" s="303"/>
      <c r="N207" s="303"/>
      <c r="O207" s="303"/>
      <c r="P207" s="303"/>
      <c r="Q207" s="303"/>
      <c r="R207" s="303"/>
      <c r="S207" s="303"/>
      <c r="T207" s="303"/>
      <c r="U207" s="303"/>
      <c r="V207" s="303"/>
    </row>
    <row r="208" spans="10:22" ht="11.4">
      <c r="J208" s="303"/>
      <c r="K208" s="303"/>
      <c r="L208" s="303"/>
      <c r="M208" s="303"/>
      <c r="N208" s="303"/>
      <c r="O208" s="303"/>
      <c r="P208" s="303"/>
      <c r="Q208" s="303"/>
      <c r="R208" s="303"/>
      <c r="S208" s="303"/>
      <c r="T208" s="303"/>
      <c r="U208" s="303"/>
      <c r="V208" s="303"/>
    </row>
    <row r="209" spans="10:22" ht="11.4">
      <c r="J209" s="303"/>
      <c r="K209" s="303"/>
      <c r="L209" s="303"/>
      <c r="M209" s="303"/>
      <c r="N209" s="303"/>
      <c r="O209" s="303"/>
      <c r="P209" s="303"/>
      <c r="Q209" s="303"/>
      <c r="R209" s="303"/>
      <c r="S209" s="303"/>
      <c r="T209" s="303"/>
      <c r="U209" s="303"/>
      <c r="V209" s="303"/>
    </row>
    <row r="210" spans="10:22" ht="11.4">
      <c r="J210" s="303"/>
      <c r="K210" s="303"/>
      <c r="L210" s="303"/>
      <c r="M210" s="303"/>
      <c r="N210" s="303"/>
      <c r="O210" s="303"/>
      <c r="P210" s="303"/>
      <c r="Q210" s="303"/>
      <c r="R210" s="303"/>
      <c r="S210" s="303"/>
      <c r="T210" s="303"/>
      <c r="U210" s="303"/>
      <c r="V210" s="303"/>
    </row>
    <row r="211" spans="10:22" ht="11.4">
      <c r="J211" s="303"/>
      <c r="K211" s="303"/>
      <c r="L211" s="303"/>
      <c r="M211" s="303"/>
      <c r="N211" s="303"/>
      <c r="O211" s="303"/>
      <c r="P211" s="303"/>
      <c r="Q211" s="303"/>
      <c r="R211" s="303"/>
      <c r="S211" s="303"/>
      <c r="T211" s="303"/>
      <c r="U211" s="303"/>
      <c r="V211" s="303"/>
    </row>
    <row r="212" spans="10:22" ht="11.4">
      <c r="J212" s="303"/>
      <c r="K212" s="303"/>
      <c r="L212" s="303"/>
      <c r="M212" s="303"/>
      <c r="N212" s="303"/>
      <c r="O212" s="303"/>
      <c r="P212" s="303"/>
      <c r="Q212" s="303"/>
      <c r="R212" s="303"/>
      <c r="S212" s="303"/>
      <c r="T212" s="303"/>
      <c r="U212" s="303"/>
      <c r="V212" s="303"/>
    </row>
    <row r="213" spans="10:22" ht="11.4">
      <c r="J213" s="303"/>
      <c r="K213" s="303"/>
      <c r="L213" s="303"/>
      <c r="M213" s="303"/>
      <c r="N213" s="303"/>
      <c r="O213" s="303"/>
      <c r="P213" s="303"/>
      <c r="Q213" s="303"/>
      <c r="R213" s="303"/>
      <c r="S213" s="303"/>
      <c r="T213" s="303"/>
      <c r="U213" s="303"/>
      <c r="V213" s="303"/>
    </row>
    <row r="214" spans="10:22" ht="11.4">
      <c r="J214" s="303"/>
      <c r="K214" s="303"/>
      <c r="L214" s="303"/>
      <c r="M214" s="303"/>
      <c r="N214" s="303"/>
      <c r="O214" s="303"/>
      <c r="P214" s="303"/>
      <c r="Q214" s="303"/>
      <c r="R214" s="303"/>
      <c r="S214" s="303"/>
      <c r="T214" s="303"/>
      <c r="U214" s="303"/>
      <c r="V214" s="303"/>
    </row>
    <row r="215" spans="10:22" ht="11.4">
      <c r="J215" s="303"/>
      <c r="K215" s="303"/>
      <c r="L215" s="303"/>
      <c r="M215" s="303"/>
      <c r="N215" s="303"/>
      <c r="O215" s="303"/>
      <c r="P215" s="303"/>
      <c r="Q215" s="303"/>
      <c r="R215" s="303"/>
      <c r="S215" s="303"/>
      <c r="T215" s="303"/>
      <c r="U215" s="303"/>
      <c r="V215" s="303"/>
    </row>
    <row r="216" spans="10:22" ht="11.4">
      <c r="J216" s="303"/>
      <c r="K216" s="303"/>
      <c r="L216" s="303"/>
      <c r="M216" s="303"/>
      <c r="N216" s="303"/>
      <c r="O216" s="303"/>
      <c r="P216" s="303"/>
      <c r="Q216" s="303"/>
      <c r="R216" s="303"/>
      <c r="S216" s="303"/>
      <c r="T216" s="303"/>
      <c r="U216" s="303"/>
      <c r="V216" s="303"/>
    </row>
    <row r="217" spans="10:22" ht="11.4">
      <c r="J217" s="303"/>
      <c r="K217" s="303"/>
      <c r="L217" s="303"/>
      <c r="M217" s="303"/>
      <c r="N217" s="303"/>
      <c r="O217" s="303"/>
      <c r="P217" s="303"/>
      <c r="Q217" s="303"/>
      <c r="R217" s="303"/>
      <c r="S217" s="303"/>
      <c r="T217" s="303"/>
      <c r="U217" s="303"/>
      <c r="V217" s="303"/>
    </row>
    <row r="218" spans="10:22" ht="11.4">
      <c r="J218" s="303"/>
      <c r="K218" s="303"/>
      <c r="L218" s="303"/>
      <c r="M218" s="303"/>
      <c r="N218" s="303"/>
      <c r="O218" s="303"/>
      <c r="P218" s="303"/>
      <c r="Q218" s="303"/>
      <c r="R218" s="303"/>
      <c r="S218" s="303"/>
      <c r="T218" s="303"/>
      <c r="U218" s="303"/>
      <c r="V218" s="303"/>
    </row>
    <row r="219" spans="10:22" ht="11.4">
      <c r="J219" s="303"/>
      <c r="K219" s="303"/>
      <c r="L219" s="303"/>
      <c r="M219" s="303"/>
      <c r="N219" s="303"/>
      <c r="O219" s="303"/>
      <c r="P219" s="303"/>
      <c r="Q219" s="303"/>
      <c r="R219" s="303"/>
      <c r="S219" s="303"/>
      <c r="T219" s="303"/>
      <c r="U219" s="303"/>
      <c r="V219" s="303"/>
    </row>
    <row r="220" spans="10:22" ht="11.4">
      <c r="J220" s="303"/>
      <c r="K220" s="303"/>
      <c r="L220" s="303"/>
      <c r="M220" s="303"/>
      <c r="N220" s="303"/>
      <c r="O220" s="303"/>
      <c r="P220" s="303"/>
      <c r="Q220" s="303"/>
      <c r="R220" s="303"/>
      <c r="S220" s="303"/>
      <c r="T220" s="303"/>
      <c r="U220" s="303"/>
      <c r="V220" s="303"/>
    </row>
    <row r="221" spans="10:22" ht="11.4">
      <c r="J221" s="303"/>
      <c r="K221" s="303"/>
      <c r="L221" s="303"/>
      <c r="M221" s="303"/>
      <c r="N221" s="303"/>
      <c r="O221" s="303"/>
      <c r="P221" s="303"/>
      <c r="Q221" s="303"/>
      <c r="R221" s="303"/>
      <c r="S221" s="303"/>
      <c r="T221" s="303"/>
      <c r="U221" s="303"/>
      <c r="V221" s="303"/>
    </row>
    <row r="222" spans="10:22" ht="11.4">
      <c r="J222" s="303"/>
      <c r="K222" s="303"/>
      <c r="L222" s="303"/>
      <c r="M222" s="303"/>
      <c r="N222" s="303"/>
      <c r="O222" s="303"/>
      <c r="P222" s="303"/>
      <c r="Q222" s="303"/>
      <c r="R222" s="303"/>
      <c r="S222" s="303"/>
      <c r="T222" s="303"/>
      <c r="U222" s="303"/>
      <c r="V222" s="303"/>
    </row>
    <row r="223" spans="10:22" ht="11.4">
      <c r="J223" s="303"/>
      <c r="K223" s="303"/>
      <c r="L223" s="303"/>
      <c r="M223" s="303"/>
      <c r="N223" s="303"/>
      <c r="O223" s="303"/>
      <c r="P223" s="303"/>
      <c r="Q223" s="303"/>
      <c r="R223" s="303"/>
      <c r="S223" s="303"/>
      <c r="T223" s="303"/>
      <c r="U223" s="303"/>
      <c r="V223" s="303"/>
    </row>
    <row r="224" spans="10:22" ht="11.4">
      <c r="J224" s="303"/>
      <c r="K224" s="303"/>
      <c r="L224" s="303"/>
      <c r="M224" s="303"/>
      <c r="N224" s="303"/>
      <c r="O224" s="303"/>
      <c r="P224" s="303"/>
      <c r="Q224" s="303"/>
      <c r="R224" s="303"/>
      <c r="S224" s="303"/>
      <c r="T224" s="303"/>
      <c r="U224" s="303"/>
      <c r="V224" s="303"/>
    </row>
    <row r="225" spans="10:22" ht="11.4">
      <c r="J225" s="303"/>
      <c r="K225" s="303"/>
      <c r="L225" s="303"/>
      <c r="M225" s="303"/>
      <c r="N225" s="303"/>
      <c r="O225" s="303"/>
      <c r="P225" s="303"/>
      <c r="Q225" s="303"/>
      <c r="R225" s="303"/>
      <c r="S225" s="303"/>
      <c r="T225" s="303"/>
      <c r="U225" s="303"/>
      <c r="V225" s="303"/>
    </row>
    <row r="226" spans="10:22" ht="11.4">
      <c r="J226" s="303"/>
      <c r="K226" s="303"/>
      <c r="L226" s="303"/>
      <c r="M226" s="303"/>
      <c r="N226" s="303"/>
      <c r="O226" s="303"/>
      <c r="P226" s="303"/>
      <c r="Q226" s="303"/>
      <c r="R226" s="303"/>
      <c r="S226" s="303"/>
      <c r="T226" s="303"/>
      <c r="U226" s="303"/>
      <c r="V226" s="303"/>
    </row>
    <row r="227" spans="10:22" ht="11.4">
      <c r="J227" s="303"/>
      <c r="K227" s="303"/>
      <c r="L227" s="303"/>
      <c r="M227" s="303"/>
      <c r="N227" s="303"/>
      <c r="O227" s="303"/>
      <c r="P227" s="303"/>
      <c r="Q227" s="303"/>
      <c r="R227" s="303"/>
      <c r="S227" s="303"/>
      <c r="T227" s="303"/>
      <c r="U227" s="303"/>
      <c r="V227" s="303"/>
    </row>
    <row r="228" spans="10:22" ht="11.4">
      <c r="J228" s="303"/>
      <c r="K228" s="303"/>
      <c r="L228" s="303"/>
      <c r="M228" s="303"/>
      <c r="N228" s="303"/>
      <c r="O228" s="303"/>
      <c r="P228" s="303"/>
      <c r="Q228" s="303"/>
      <c r="R228" s="303"/>
      <c r="S228" s="303"/>
      <c r="T228" s="303"/>
      <c r="U228" s="303"/>
      <c r="V228" s="303"/>
    </row>
    <row r="229" spans="10:22" ht="11.4">
      <c r="J229" s="303"/>
      <c r="K229" s="303"/>
      <c r="L229" s="303"/>
      <c r="M229" s="303"/>
      <c r="N229" s="303"/>
      <c r="O229" s="303"/>
      <c r="P229" s="303"/>
      <c r="Q229" s="303"/>
      <c r="R229" s="303"/>
      <c r="S229" s="303"/>
      <c r="T229" s="303"/>
      <c r="U229" s="303"/>
      <c r="V229" s="303"/>
    </row>
    <row r="230" spans="10:22" ht="11.4">
      <c r="J230" s="303"/>
      <c r="K230" s="303"/>
      <c r="L230" s="303"/>
      <c r="M230" s="303"/>
      <c r="N230" s="303"/>
      <c r="O230" s="303"/>
      <c r="P230" s="303"/>
      <c r="Q230" s="303"/>
      <c r="R230" s="303"/>
      <c r="S230" s="303"/>
      <c r="T230" s="303"/>
      <c r="U230" s="303"/>
      <c r="V230" s="303"/>
    </row>
    <row r="231" spans="10:22" ht="11.4">
      <c r="J231" s="303"/>
      <c r="K231" s="303"/>
      <c r="L231" s="303"/>
      <c r="M231" s="303"/>
      <c r="N231" s="303"/>
      <c r="O231" s="303"/>
      <c r="P231" s="303"/>
      <c r="Q231" s="303"/>
      <c r="R231" s="303"/>
      <c r="S231" s="303"/>
      <c r="T231" s="303"/>
      <c r="U231" s="303"/>
      <c r="V231" s="303"/>
    </row>
    <row r="232" spans="10:22" ht="11.4">
      <c r="J232" s="303"/>
      <c r="K232" s="303"/>
      <c r="L232" s="303"/>
      <c r="M232" s="303"/>
      <c r="N232" s="303"/>
      <c r="O232" s="303"/>
      <c r="P232" s="303"/>
      <c r="Q232" s="303"/>
      <c r="R232" s="303"/>
      <c r="S232" s="303"/>
      <c r="T232" s="303"/>
      <c r="U232" s="303"/>
      <c r="V232" s="303"/>
    </row>
    <row r="233" spans="10:22" ht="11.4">
      <c r="J233" s="303"/>
      <c r="K233" s="303"/>
      <c r="L233" s="303"/>
      <c r="M233" s="303"/>
      <c r="N233" s="303"/>
      <c r="O233" s="303"/>
      <c r="P233" s="303"/>
      <c r="Q233" s="303"/>
      <c r="R233" s="303"/>
      <c r="S233" s="303"/>
      <c r="T233" s="303"/>
      <c r="U233" s="303"/>
      <c r="V233" s="303"/>
    </row>
    <row r="234" spans="10:22" ht="11.4">
      <c r="J234" s="303"/>
      <c r="K234" s="303"/>
      <c r="L234" s="303"/>
      <c r="M234" s="303"/>
      <c r="N234" s="303"/>
      <c r="O234" s="303"/>
      <c r="P234" s="303"/>
      <c r="Q234" s="303"/>
      <c r="R234" s="303"/>
      <c r="S234" s="303"/>
      <c r="T234" s="303"/>
      <c r="U234" s="303"/>
      <c r="V234" s="303"/>
    </row>
    <row r="235" spans="10:22" ht="11.4">
      <c r="J235" s="303"/>
      <c r="K235" s="303"/>
      <c r="L235" s="303"/>
      <c r="M235" s="303"/>
      <c r="N235" s="303"/>
      <c r="O235" s="303"/>
      <c r="P235" s="303"/>
      <c r="Q235" s="303"/>
      <c r="R235" s="303"/>
      <c r="S235" s="303"/>
      <c r="T235" s="303"/>
      <c r="U235" s="303"/>
      <c r="V235" s="303"/>
    </row>
    <row r="236" spans="10:22" ht="11.4">
      <c r="J236" s="303"/>
      <c r="K236" s="303"/>
      <c r="L236" s="303"/>
      <c r="M236" s="303"/>
      <c r="N236" s="303"/>
      <c r="O236" s="303"/>
      <c r="P236" s="303"/>
      <c r="Q236" s="303"/>
      <c r="R236" s="303"/>
      <c r="S236" s="303"/>
      <c r="T236" s="303"/>
      <c r="U236" s="303"/>
      <c r="V236" s="303"/>
    </row>
    <row r="237" spans="10:22" ht="11.4">
      <c r="J237" s="303"/>
      <c r="K237" s="303"/>
      <c r="L237" s="303"/>
      <c r="M237" s="303"/>
      <c r="N237" s="303"/>
      <c r="O237" s="303"/>
      <c r="P237" s="303"/>
      <c r="Q237" s="303"/>
      <c r="R237" s="303"/>
      <c r="S237" s="303"/>
      <c r="T237" s="303"/>
      <c r="U237" s="303"/>
      <c r="V237" s="303"/>
    </row>
    <row r="238" spans="10:22" ht="11.4">
      <c r="J238" s="303"/>
      <c r="K238" s="303"/>
      <c r="L238" s="303"/>
      <c r="M238" s="303"/>
      <c r="N238" s="303"/>
      <c r="O238" s="303"/>
      <c r="P238" s="303"/>
      <c r="Q238" s="303"/>
      <c r="R238" s="303"/>
      <c r="S238" s="303"/>
      <c r="T238" s="303"/>
      <c r="U238" s="303"/>
      <c r="V238" s="303"/>
    </row>
    <row r="239" spans="10:22" ht="11.4">
      <c r="J239" s="303"/>
      <c r="K239" s="303"/>
      <c r="L239" s="303"/>
      <c r="M239" s="303"/>
      <c r="N239" s="303"/>
      <c r="O239" s="303"/>
      <c r="P239" s="303"/>
      <c r="Q239" s="303"/>
      <c r="R239" s="303"/>
      <c r="S239" s="303"/>
      <c r="T239" s="303"/>
      <c r="U239" s="303"/>
      <c r="V239" s="303"/>
    </row>
    <row r="240" spans="10:22" ht="11.4">
      <c r="J240" s="303"/>
      <c r="K240" s="303"/>
      <c r="L240" s="303"/>
      <c r="M240" s="303"/>
      <c r="N240" s="303"/>
      <c r="O240" s="303"/>
      <c r="P240" s="303"/>
      <c r="Q240" s="303"/>
      <c r="R240" s="303"/>
      <c r="S240" s="303"/>
      <c r="T240" s="303"/>
      <c r="U240" s="303"/>
      <c r="V240" s="303"/>
    </row>
    <row r="241" spans="10:22" ht="11.4">
      <c r="J241" s="303"/>
      <c r="K241" s="303"/>
      <c r="L241" s="303"/>
      <c r="M241" s="303"/>
      <c r="N241" s="303"/>
      <c r="O241" s="303"/>
      <c r="P241" s="303"/>
      <c r="Q241" s="303"/>
      <c r="R241" s="303"/>
      <c r="S241" s="303"/>
      <c r="T241" s="303"/>
      <c r="U241" s="303"/>
      <c r="V241" s="303"/>
    </row>
    <row r="242" spans="10:22" ht="11.4">
      <c r="J242" s="303"/>
      <c r="K242" s="303"/>
      <c r="L242" s="303"/>
      <c r="M242" s="303"/>
      <c r="N242" s="303"/>
      <c r="O242" s="303"/>
      <c r="P242" s="303"/>
      <c r="Q242" s="303"/>
      <c r="R242" s="303"/>
      <c r="S242" s="303"/>
      <c r="T242" s="303"/>
      <c r="U242" s="303"/>
      <c r="V242" s="303"/>
    </row>
    <row r="243" spans="10:22" ht="11.4">
      <c r="J243" s="303"/>
      <c r="K243" s="303"/>
      <c r="L243" s="303"/>
      <c r="M243" s="303"/>
      <c r="N243" s="303"/>
      <c r="O243" s="303"/>
      <c r="P243" s="303"/>
      <c r="Q243" s="303"/>
      <c r="R243" s="303"/>
      <c r="S243" s="303"/>
      <c r="T243" s="303"/>
      <c r="U243" s="303"/>
      <c r="V243" s="303"/>
    </row>
    <row r="244" spans="10:22" ht="11.4">
      <c r="J244" s="303"/>
      <c r="K244" s="303"/>
      <c r="L244" s="303"/>
      <c r="M244" s="303"/>
      <c r="N244" s="303"/>
      <c r="O244" s="303"/>
      <c r="P244" s="303"/>
      <c r="Q244" s="303"/>
      <c r="R244" s="303"/>
      <c r="S244" s="303"/>
      <c r="T244" s="303"/>
      <c r="U244" s="303"/>
      <c r="V244" s="303"/>
    </row>
    <row r="245" spans="10:22" ht="11.4">
      <c r="J245" s="303"/>
      <c r="K245" s="303"/>
      <c r="L245" s="303"/>
      <c r="M245" s="303"/>
      <c r="N245" s="303"/>
      <c r="O245" s="303"/>
      <c r="P245" s="303"/>
      <c r="Q245" s="303"/>
      <c r="R245" s="303"/>
      <c r="S245" s="303"/>
      <c r="T245" s="303"/>
      <c r="U245" s="303"/>
      <c r="V245" s="303"/>
    </row>
    <row r="246" spans="10:22" ht="11.4">
      <c r="J246" s="303"/>
      <c r="K246" s="303"/>
      <c r="L246" s="303"/>
      <c r="M246" s="303"/>
      <c r="N246" s="303"/>
      <c r="O246" s="303"/>
      <c r="P246" s="303"/>
      <c r="Q246" s="303"/>
      <c r="R246" s="303"/>
      <c r="S246" s="303"/>
      <c r="T246" s="303"/>
      <c r="U246" s="303"/>
      <c r="V246" s="303"/>
    </row>
    <row r="247" spans="10:22" ht="11.4">
      <c r="J247" s="303"/>
      <c r="K247" s="303"/>
      <c r="L247" s="303"/>
      <c r="M247" s="303"/>
      <c r="N247" s="303"/>
      <c r="O247" s="303"/>
      <c r="P247" s="303"/>
      <c r="Q247" s="303"/>
      <c r="R247" s="303"/>
      <c r="S247" s="303"/>
      <c r="T247" s="303"/>
      <c r="U247" s="303"/>
      <c r="V247" s="303"/>
    </row>
    <row r="248" spans="10:22" ht="11.4">
      <c r="J248" s="303"/>
      <c r="K248" s="303"/>
      <c r="L248" s="303"/>
      <c r="M248" s="303"/>
      <c r="N248" s="303"/>
      <c r="O248" s="303"/>
      <c r="P248" s="303"/>
      <c r="Q248" s="303"/>
      <c r="R248" s="303"/>
      <c r="S248" s="303"/>
      <c r="T248" s="303"/>
      <c r="U248" s="303"/>
      <c r="V248" s="303"/>
    </row>
    <row r="249" spans="10:22" ht="11.4">
      <c r="J249" s="303"/>
      <c r="K249" s="303"/>
      <c r="L249" s="303"/>
      <c r="M249" s="303"/>
      <c r="N249" s="303"/>
      <c r="O249" s="303"/>
      <c r="P249" s="303"/>
      <c r="Q249" s="303"/>
      <c r="R249" s="303"/>
      <c r="S249" s="303"/>
      <c r="T249" s="303"/>
      <c r="U249" s="303"/>
      <c r="V249" s="303"/>
    </row>
    <row r="250" spans="10:22" ht="11.4">
      <c r="J250" s="303"/>
      <c r="K250" s="303"/>
      <c r="L250" s="303"/>
      <c r="M250" s="303"/>
      <c r="N250" s="303"/>
      <c r="O250" s="303"/>
      <c r="P250" s="303"/>
      <c r="Q250" s="303"/>
      <c r="R250" s="303"/>
      <c r="S250" s="303"/>
      <c r="T250" s="303"/>
      <c r="U250" s="303"/>
      <c r="V250" s="303"/>
    </row>
    <row r="251" spans="10:22" ht="11.4">
      <c r="J251" s="303"/>
      <c r="K251" s="303"/>
      <c r="L251" s="303"/>
      <c r="M251" s="303"/>
      <c r="N251" s="303"/>
      <c r="O251" s="303"/>
      <c r="P251" s="303"/>
      <c r="Q251" s="303"/>
      <c r="R251" s="303"/>
      <c r="S251" s="303"/>
      <c r="T251" s="303"/>
      <c r="U251" s="303"/>
      <c r="V251" s="303"/>
    </row>
    <row r="252" spans="10:22" ht="11.4">
      <c r="J252" s="303"/>
      <c r="K252" s="303"/>
      <c r="L252" s="303"/>
      <c r="M252" s="303"/>
      <c r="N252" s="303"/>
      <c r="O252" s="303"/>
      <c r="P252" s="303"/>
      <c r="Q252" s="303"/>
      <c r="R252" s="303"/>
      <c r="S252" s="303"/>
      <c r="T252" s="303"/>
      <c r="U252" s="303"/>
      <c r="V252" s="303"/>
    </row>
    <row r="253" spans="10:22" ht="11.4">
      <c r="J253" s="303"/>
      <c r="K253" s="303"/>
      <c r="L253" s="303"/>
      <c r="M253" s="303"/>
      <c r="N253" s="303"/>
      <c r="O253" s="303"/>
      <c r="P253" s="303"/>
      <c r="Q253" s="303"/>
      <c r="R253" s="303"/>
      <c r="S253" s="303"/>
      <c r="T253" s="303"/>
      <c r="U253" s="303"/>
      <c r="V253" s="303"/>
    </row>
    <row r="254" spans="10:22" ht="11.4">
      <c r="J254" s="303"/>
      <c r="K254" s="303"/>
      <c r="L254" s="303"/>
      <c r="M254" s="303"/>
      <c r="N254" s="303"/>
      <c r="O254" s="303"/>
      <c r="P254" s="303"/>
      <c r="Q254" s="303"/>
      <c r="R254" s="303"/>
      <c r="S254" s="303"/>
      <c r="T254" s="303"/>
      <c r="U254" s="303"/>
      <c r="V254" s="303"/>
    </row>
    <row r="255" spans="10:22" ht="11.4">
      <c r="J255" s="303"/>
      <c r="K255" s="303"/>
      <c r="L255" s="303"/>
      <c r="M255" s="303"/>
      <c r="N255" s="303"/>
      <c r="O255" s="303"/>
      <c r="P255" s="303"/>
      <c r="Q255" s="303"/>
      <c r="R255" s="303"/>
      <c r="S255" s="303"/>
      <c r="T255" s="303"/>
      <c r="U255" s="303"/>
      <c r="V255" s="303"/>
    </row>
    <row r="256" spans="10:22" ht="11.4">
      <c r="J256" s="303"/>
      <c r="K256" s="303"/>
      <c r="L256" s="303"/>
      <c r="M256" s="303"/>
      <c r="N256" s="303"/>
      <c r="O256" s="303"/>
      <c r="P256" s="303"/>
      <c r="Q256" s="303"/>
      <c r="R256" s="303"/>
      <c r="S256" s="303"/>
      <c r="T256" s="303"/>
      <c r="U256" s="303"/>
      <c r="V256" s="303"/>
    </row>
    <row r="257" spans="10:22" ht="11.4">
      <c r="J257" s="303"/>
      <c r="K257" s="303"/>
      <c r="L257" s="303"/>
      <c r="M257" s="303"/>
      <c r="N257" s="303"/>
      <c r="O257" s="303"/>
      <c r="P257" s="303"/>
      <c r="Q257" s="303"/>
      <c r="R257" s="303"/>
      <c r="S257" s="303"/>
      <c r="T257" s="303"/>
      <c r="U257" s="303"/>
      <c r="V257" s="303"/>
    </row>
    <row r="258" spans="10:22" ht="11.4">
      <c r="J258" s="303"/>
      <c r="K258" s="303"/>
      <c r="L258" s="303"/>
      <c r="M258" s="303"/>
      <c r="N258" s="303"/>
      <c r="O258" s="303"/>
      <c r="P258" s="303"/>
      <c r="Q258" s="303"/>
      <c r="R258" s="303"/>
      <c r="S258" s="303"/>
      <c r="T258" s="303"/>
      <c r="U258" s="303"/>
      <c r="V258" s="303"/>
    </row>
    <row r="259" spans="10:22" ht="11.4">
      <c r="J259" s="303"/>
      <c r="K259" s="303"/>
      <c r="L259" s="303"/>
      <c r="M259" s="303"/>
      <c r="N259" s="303"/>
      <c r="O259" s="303"/>
      <c r="P259" s="303"/>
      <c r="Q259" s="303"/>
      <c r="R259" s="303"/>
      <c r="S259" s="303"/>
      <c r="T259" s="303"/>
      <c r="U259" s="303"/>
      <c r="V259" s="303"/>
    </row>
    <row r="260" spans="10:22" ht="11.4">
      <c r="J260" s="303"/>
      <c r="K260" s="303"/>
      <c r="L260" s="303"/>
      <c r="M260" s="303"/>
      <c r="N260" s="303"/>
      <c r="O260" s="303"/>
      <c r="P260" s="303"/>
      <c r="Q260" s="303"/>
      <c r="R260" s="303"/>
      <c r="S260" s="303"/>
      <c r="T260" s="303"/>
      <c r="U260" s="303"/>
      <c r="V260" s="303"/>
    </row>
    <row r="261" spans="10:22" ht="11.4">
      <c r="J261" s="303"/>
      <c r="K261" s="303"/>
      <c r="L261" s="303"/>
      <c r="M261" s="303"/>
      <c r="N261" s="303"/>
      <c r="O261" s="303"/>
      <c r="P261" s="303"/>
      <c r="Q261" s="303"/>
      <c r="R261" s="303"/>
      <c r="S261" s="303"/>
      <c r="T261" s="303"/>
      <c r="U261" s="303"/>
      <c r="V261" s="303"/>
    </row>
    <row r="262" spans="10:22" ht="11.4">
      <c r="J262" s="303"/>
      <c r="K262" s="303"/>
      <c r="L262" s="303"/>
      <c r="M262" s="303"/>
      <c r="N262" s="303"/>
      <c r="O262" s="303"/>
      <c r="P262" s="303"/>
      <c r="Q262" s="303"/>
      <c r="R262" s="303"/>
      <c r="S262" s="303"/>
      <c r="T262" s="303"/>
      <c r="U262" s="303"/>
      <c r="V262" s="303"/>
    </row>
    <row r="263" spans="10:22" ht="11.4">
      <c r="J263" s="303"/>
      <c r="K263" s="303"/>
      <c r="L263" s="303"/>
      <c r="M263" s="303"/>
      <c r="N263" s="303"/>
      <c r="O263" s="303"/>
      <c r="P263" s="303"/>
      <c r="Q263" s="303"/>
      <c r="R263" s="303"/>
      <c r="S263" s="303"/>
      <c r="T263" s="303"/>
      <c r="U263" s="303"/>
      <c r="V263" s="303"/>
    </row>
    <row r="264" spans="10:22" ht="11.4">
      <c r="J264" s="303"/>
      <c r="K264" s="303"/>
      <c r="L264" s="303"/>
      <c r="M264" s="303"/>
      <c r="N264" s="303"/>
      <c r="O264" s="303"/>
      <c r="P264" s="303"/>
      <c r="Q264" s="303"/>
      <c r="R264" s="303"/>
      <c r="S264" s="303"/>
      <c r="T264" s="303"/>
      <c r="U264" s="303"/>
      <c r="V264" s="303"/>
    </row>
    <row r="265" spans="10:22" ht="11.4">
      <c r="J265" s="303"/>
      <c r="K265" s="303"/>
      <c r="L265" s="303"/>
      <c r="M265" s="303"/>
      <c r="N265" s="303"/>
      <c r="O265" s="303"/>
      <c r="P265" s="303"/>
      <c r="Q265" s="303"/>
      <c r="R265" s="303"/>
      <c r="S265" s="303"/>
      <c r="T265" s="303"/>
      <c r="U265" s="303"/>
      <c r="V265" s="303"/>
    </row>
    <row r="266" spans="10:22" ht="11.4">
      <c r="J266" s="303"/>
      <c r="K266" s="303"/>
      <c r="L266" s="303"/>
      <c r="M266" s="303"/>
      <c r="N266" s="303"/>
      <c r="O266" s="303"/>
      <c r="P266" s="303"/>
      <c r="Q266" s="303"/>
      <c r="R266" s="303"/>
      <c r="S266" s="303"/>
      <c r="T266" s="303"/>
      <c r="U266" s="303"/>
      <c r="V266" s="303"/>
    </row>
    <row r="267" spans="10:22" ht="11.4">
      <c r="J267" s="303"/>
      <c r="K267" s="303"/>
      <c r="L267" s="303"/>
      <c r="M267" s="303"/>
      <c r="N267" s="303"/>
      <c r="O267" s="303"/>
      <c r="P267" s="303"/>
      <c r="Q267" s="303"/>
      <c r="R267" s="303"/>
      <c r="S267" s="303"/>
      <c r="T267" s="303"/>
      <c r="U267" s="303"/>
      <c r="V267" s="303"/>
    </row>
    <row r="268" spans="10:22" ht="11.4">
      <c r="J268" s="303"/>
      <c r="K268" s="303"/>
      <c r="L268" s="303"/>
      <c r="M268" s="303"/>
      <c r="N268" s="303"/>
      <c r="O268" s="303"/>
      <c r="P268" s="303"/>
      <c r="Q268" s="303"/>
      <c r="R268" s="303"/>
      <c r="S268" s="303"/>
      <c r="T268" s="303"/>
      <c r="U268" s="303"/>
      <c r="V268" s="303"/>
    </row>
    <row r="269" spans="10:22" ht="11.4">
      <c r="J269" s="303"/>
      <c r="K269" s="303"/>
      <c r="L269" s="303"/>
      <c r="M269" s="303"/>
      <c r="N269" s="303"/>
      <c r="O269" s="303"/>
      <c r="P269" s="303"/>
      <c r="Q269" s="303"/>
      <c r="R269" s="303"/>
      <c r="S269" s="303"/>
      <c r="T269" s="303"/>
      <c r="U269" s="303"/>
      <c r="V269" s="303"/>
    </row>
    <row r="270" spans="10:22" ht="11.4">
      <c r="J270" s="303"/>
      <c r="K270" s="303"/>
      <c r="L270" s="303"/>
      <c r="M270" s="303"/>
      <c r="N270" s="303"/>
      <c r="O270" s="303"/>
      <c r="P270" s="303"/>
      <c r="Q270" s="303"/>
      <c r="R270" s="303"/>
      <c r="S270" s="303"/>
      <c r="T270" s="303"/>
      <c r="U270" s="303"/>
      <c r="V270" s="303"/>
    </row>
    <row r="271" spans="10:22" ht="11.4">
      <c r="J271" s="303"/>
      <c r="K271" s="303"/>
      <c r="L271" s="303"/>
      <c r="M271" s="303"/>
      <c r="N271" s="303"/>
      <c r="O271" s="303"/>
      <c r="P271" s="303"/>
      <c r="Q271" s="303"/>
      <c r="R271" s="303"/>
      <c r="S271" s="303"/>
      <c r="T271" s="303"/>
      <c r="U271" s="303"/>
      <c r="V271" s="303"/>
    </row>
  </sheetData>
  <sheetProtection sheet="1" formatCells="0" formatColumns="0" formatRows="0"/>
  <mergeCells count="18">
    <mergeCell ref="K5:K7"/>
    <mergeCell ref="A27:I27"/>
    <mergeCell ref="B20:B21"/>
    <mergeCell ref="D5:E5"/>
    <mergeCell ref="A17:B19"/>
    <mergeCell ref="A11:A12"/>
    <mergeCell ref="A14:B16"/>
    <mergeCell ref="E7:G7"/>
    <mergeCell ref="E15:I24"/>
    <mergeCell ref="C20:C21"/>
    <mergeCell ref="D20:D21"/>
    <mergeCell ref="G3:I3"/>
    <mergeCell ref="B3:D3"/>
    <mergeCell ref="D4:I4"/>
    <mergeCell ref="E6:G6"/>
    <mergeCell ref="F5:H5"/>
    <mergeCell ref="I5:I7"/>
    <mergeCell ref="B5:C5"/>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paperSize="5" scale="83" orientation="portrait"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zoomScaleNormal="100" workbookViewId="0">
      <selection activeCell="H52" sqref="H52"/>
    </sheetView>
  </sheetViews>
  <sheetFormatPr defaultColWidth="5.81640625" defaultRowHeight="10.199999999999999"/>
  <cols>
    <col min="1" max="1" width="1.81640625" style="652" customWidth="1"/>
    <col min="2" max="2" width="14" style="652" customWidth="1"/>
    <col min="3" max="3" width="10.54296875" style="652" customWidth="1"/>
    <col min="4" max="4" width="10.81640625" style="652" customWidth="1"/>
    <col min="5" max="6" width="13" style="652" customWidth="1"/>
    <col min="7" max="7" width="6" style="652" customWidth="1"/>
    <col min="8" max="8" width="5" style="652" customWidth="1"/>
    <col min="9" max="9" width="4.81640625" style="652" customWidth="1"/>
    <col min="10" max="10" width="4" style="652" customWidth="1"/>
    <col min="11" max="11" width="5.81640625" style="652" customWidth="1"/>
    <col min="12" max="12" width="25.54296875" style="652" customWidth="1"/>
    <col min="13" max="13" width="8" style="652" customWidth="1"/>
    <col min="14" max="14" width="8.453125" style="652" customWidth="1"/>
    <col min="15" max="20" width="5.81640625" style="652" customWidth="1"/>
    <col min="21" max="16384" width="5.81640625" style="652"/>
  </cols>
  <sheetData>
    <row r="1" spans="1:21" ht="12.75" customHeight="1">
      <c r="A1" s="1765" t="str">
        <f>IF(OR(Version="Proposed",Version=""),"Summary of School District Proposed Expenditure Budget (Concl'd)",IF(Version="Adopted","Summary of School District Adopted Expenditure Budget (Concl'd)","Summary of School District Revised Expenditure Budget (Concl'd)"))</f>
        <v>Summary of School District Proposed Expenditure Budget (Concl'd)</v>
      </c>
      <c r="B1" s="1765"/>
      <c r="C1" s="1765"/>
      <c r="D1" s="1765"/>
      <c r="E1" s="1765"/>
      <c r="F1" s="1765"/>
      <c r="G1" s="651"/>
      <c r="H1" s="1141" t="s">
        <v>57</v>
      </c>
      <c r="I1" s="1763" t="str">
        <f>Cover!S1</f>
        <v>110100000</v>
      </c>
      <c r="J1" s="1764"/>
      <c r="K1" s="577"/>
      <c r="L1" s="1761" t="s">
        <v>1116</v>
      </c>
      <c r="M1" s="1761"/>
      <c r="N1" s="1761"/>
      <c r="O1" s="577"/>
      <c r="P1" s="577"/>
      <c r="Q1" s="577"/>
      <c r="R1" s="577"/>
      <c r="S1" s="577"/>
      <c r="T1" s="577"/>
      <c r="U1" s="577"/>
    </row>
    <row r="2" spans="1:21" ht="12" customHeight="1">
      <c r="A2" s="1771" t="s">
        <v>338</v>
      </c>
      <c r="B2" s="1772"/>
      <c r="C2" s="1772"/>
      <c r="D2" s="1772"/>
      <c r="E2" s="1772"/>
      <c r="F2" s="1772"/>
      <c r="G2" s="651"/>
      <c r="H2" s="1141" t="s">
        <v>16</v>
      </c>
      <c r="I2" s="1766" t="str">
        <f>Cover!C8</f>
        <v>Proposed</v>
      </c>
      <c r="J2" s="1767"/>
      <c r="K2" s="649"/>
      <c r="L2" s="1761"/>
      <c r="M2" s="1761"/>
      <c r="N2" s="1761"/>
      <c r="O2" s="577"/>
      <c r="P2" s="577"/>
      <c r="Q2" s="577"/>
      <c r="R2" s="577"/>
      <c r="S2" s="577"/>
      <c r="T2" s="577"/>
      <c r="U2" s="577"/>
    </row>
    <row r="3" spans="1:21" ht="9.75" customHeight="1">
      <c r="A3" s="618"/>
      <c r="B3" s="653"/>
      <c r="C3" s="1768" t="s">
        <v>1024</v>
      </c>
      <c r="D3" s="1773"/>
      <c r="E3" s="654" t="s">
        <v>339</v>
      </c>
      <c r="F3" s="655" t="s">
        <v>340</v>
      </c>
      <c r="G3" s="651"/>
      <c r="H3" s="651"/>
      <c r="I3" s="651"/>
      <c r="J3" s="584"/>
      <c r="K3" s="656"/>
      <c r="L3" s="1762"/>
      <c r="M3" s="1762"/>
      <c r="N3" s="1762"/>
      <c r="O3" s="577"/>
      <c r="P3" s="577"/>
      <c r="Q3" s="577"/>
      <c r="R3" s="577"/>
      <c r="S3" s="577"/>
      <c r="T3" s="577"/>
      <c r="U3" s="577"/>
    </row>
    <row r="4" spans="1:21" ht="9" customHeight="1">
      <c r="A4" s="1782" t="s">
        <v>341</v>
      </c>
      <c r="B4" s="1783"/>
      <c r="C4" s="654"/>
      <c r="D4" s="624"/>
      <c r="E4" s="657" t="s">
        <v>334</v>
      </c>
      <c r="F4" s="658" t="s">
        <v>334</v>
      </c>
      <c r="G4" s="1770" t="str">
        <f>IF((F001TotalExp&gt;0)*AND(OR(TotalFTECertSubtotal=0,TotalFTEClassSubtotal=0)),"Incomplete: Please complete the Certified and Classified sections of the Proposed Staffing Table below."," ")</f>
        <v xml:space="preserve"> </v>
      </c>
      <c r="H4" s="1770"/>
      <c r="I4" s="1770"/>
      <c r="J4" s="1770"/>
      <c r="K4" s="656"/>
      <c r="L4" s="659" t="s">
        <v>1115</v>
      </c>
      <c r="M4" s="660" t="s">
        <v>129</v>
      </c>
      <c r="N4" s="661" t="s">
        <v>130</v>
      </c>
      <c r="O4" s="577"/>
      <c r="P4" s="577"/>
      <c r="Q4" s="577"/>
      <c r="R4" s="577"/>
      <c r="S4" s="577"/>
      <c r="T4" s="577"/>
      <c r="U4" s="577"/>
    </row>
    <row r="5" spans="1:21" ht="10.5" customHeight="1">
      <c r="A5" s="662"/>
      <c r="B5" s="663"/>
      <c r="C5" s="664" t="s">
        <v>129</v>
      </c>
      <c r="D5" s="665" t="s">
        <v>130</v>
      </c>
      <c r="E5" s="665" t="s">
        <v>1118</v>
      </c>
      <c r="F5" s="666" t="s">
        <v>1112</v>
      </c>
      <c r="G5" s="1770"/>
      <c r="H5" s="1770"/>
      <c r="I5" s="1770"/>
      <c r="J5" s="1770"/>
      <c r="K5" s="583"/>
      <c r="L5" s="667" t="s">
        <v>206</v>
      </c>
      <c r="M5" s="668">
        <f>F050CurrFY</f>
        <v>0</v>
      </c>
      <c r="N5" s="669">
        <f>F050BudgFY</f>
        <v>0</v>
      </c>
      <c r="O5" s="577"/>
      <c r="P5" s="577"/>
      <c r="Q5" s="577"/>
      <c r="R5" s="577"/>
      <c r="S5" s="577"/>
      <c r="T5" s="577"/>
      <c r="U5" s="577"/>
    </row>
    <row r="6" spans="1:21" ht="10.5" customHeight="1">
      <c r="A6" s="631" t="s">
        <v>342</v>
      </c>
      <c r="B6" s="670"/>
      <c r="C6" s="631">
        <f>F001TotExpCurrFY</f>
        <v>6916788</v>
      </c>
      <c r="D6" s="631">
        <f>F001TotalExp</f>
        <v>6718232</v>
      </c>
      <c r="E6" s="671">
        <f t="shared" ref="E6:E14" si="0">D6-C6</f>
        <v>-198556</v>
      </c>
      <c r="F6" s="672">
        <f t="shared" ref="F6:F21" si="1">IF(C6=D6,0,IF(C6&gt;0,E6/C6,""))</f>
        <v>-2.9000000000000001E-2</v>
      </c>
      <c r="G6" s="1770"/>
      <c r="H6" s="1770"/>
      <c r="I6" s="1770"/>
      <c r="J6" s="1770"/>
      <c r="K6" s="583"/>
      <c r="L6" s="667" t="s">
        <v>212</v>
      </c>
      <c r="M6" s="668">
        <f>F515CurrFY</f>
        <v>35000</v>
      </c>
      <c r="N6" s="669">
        <f>F515BudgFY</f>
        <v>29000</v>
      </c>
      <c r="O6" s="577"/>
      <c r="P6" s="577"/>
      <c r="Q6" s="577"/>
      <c r="R6" s="577"/>
      <c r="S6" s="577"/>
      <c r="T6" s="577"/>
      <c r="U6" s="577"/>
    </row>
    <row r="7" spans="1:21" ht="10.5" customHeight="1">
      <c r="A7" s="673" t="s">
        <v>343</v>
      </c>
      <c r="B7" s="670"/>
      <c r="C7" s="674">
        <f>F020TotCurrFY</f>
        <v>56000</v>
      </c>
      <c r="D7" s="674">
        <f>F020TotBudgFY</f>
        <v>56000</v>
      </c>
      <c r="E7" s="671">
        <f t="shared" si="0"/>
        <v>0</v>
      </c>
      <c r="F7" s="672">
        <f t="shared" si="1"/>
        <v>0</v>
      </c>
      <c r="G7" s="1770"/>
      <c r="H7" s="1770"/>
      <c r="I7" s="1770"/>
      <c r="J7" s="1770"/>
      <c r="K7" s="583"/>
      <c r="L7" s="667" t="s">
        <v>213</v>
      </c>
      <c r="M7" s="668">
        <f>F520CurrFY</f>
        <v>230000</v>
      </c>
      <c r="N7" s="669">
        <f>F520BudgFY</f>
        <v>116817</v>
      </c>
      <c r="O7" s="577"/>
      <c r="P7" s="577"/>
      <c r="Q7" s="577"/>
      <c r="R7" s="577"/>
      <c r="S7" s="577"/>
      <c r="T7" s="577"/>
      <c r="U7" s="577"/>
    </row>
    <row r="8" spans="1:21" ht="10.5" customHeight="1">
      <c r="A8" s="675" t="s">
        <v>344</v>
      </c>
      <c r="B8" s="676"/>
      <c r="C8" s="674">
        <f>F071CurrFY</f>
        <v>0</v>
      </c>
      <c r="D8" s="640">
        <f>F071BudgFY</f>
        <v>0</v>
      </c>
      <c r="E8" s="671">
        <f t="shared" si="0"/>
        <v>0</v>
      </c>
      <c r="F8" s="672">
        <f t="shared" si="1"/>
        <v>0</v>
      </c>
      <c r="G8" s="1770"/>
      <c r="H8" s="1770"/>
      <c r="I8" s="1770"/>
      <c r="J8" s="1770"/>
      <c r="K8" s="583"/>
      <c r="L8" s="667" t="s">
        <v>215</v>
      </c>
      <c r="M8" s="668">
        <f>F526CurrFY</f>
        <v>5000</v>
      </c>
      <c r="N8" s="669">
        <f>F526BudgFY</f>
        <v>5800</v>
      </c>
      <c r="O8" s="577"/>
      <c r="P8" s="577"/>
      <c r="Q8" s="577"/>
      <c r="R8" s="577"/>
      <c r="S8" s="577"/>
      <c r="T8" s="577"/>
      <c r="U8" s="577"/>
    </row>
    <row r="9" spans="1:21" ht="12" customHeight="1">
      <c r="A9" s="673" t="s">
        <v>345</v>
      </c>
      <c r="B9" s="670"/>
      <c r="C9" s="674">
        <f>F072CurrFY</f>
        <v>0</v>
      </c>
      <c r="D9" s="640">
        <f>F072BudgFY</f>
        <v>0</v>
      </c>
      <c r="E9" s="677">
        <f t="shared" si="0"/>
        <v>0</v>
      </c>
      <c r="F9" s="678">
        <f t="shared" si="1"/>
        <v>0</v>
      </c>
      <c r="G9" s="1770"/>
      <c r="H9" s="1770"/>
      <c r="I9" s="1770"/>
      <c r="J9" s="1770"/>
      <c r="K9" s="679"/>
      <c r="L9" s="667" t="s">
        <v>216</v>
      </c>
      <c r="M9" s="668">
        <f>F530CurrFY</f>
        <v>60000</v>
      </c>
      <c r="N9" s="669">
        <f>F530BudgFY</f>
        <v>70685</v>
      </c>
      <c r="O9" s="577"/>
      <c r="P9" s="577"/>
      <c r="Q9" s="577"/>
      <c r="R9" s="577"/>
      <c r="S9" s="577"/>
      <c r="T9" s="577"/>
      <c r="U9" s="577"/>
    </row>
    <row r="10" spans="1:21" ht="12" customHeight="1">
      <c r="A10" s="680" t="s">
        <v>346</v>
      </c>
      <c r="B10" s="681"/>
      <c r="C10" s="610">
        <f>F010TotalExpPY</f>
        <v>440357</v>
      </c>
      <c r="D10" s="610">
        <f>F010TotalExp</f>
        <v>265000</v>
      </c>
      <c r="E10" s="677">
        <f>D10-C10</f>
        <v>-175357</v>
      </c>
      <c r="F10" s="678">
        <f t="shared" si="1"/>
        <v>-0.39800000000000002</v>
      </c>
      <c r="G10" s="1770"/>
      <c r="H10" s="1770"/>
      <c r="I10" s="1770"/>
      <c r="J10" s="1770"/>
      <c r="K10" s="679"/>
      <c r="L10" s="682" t="s">
        <v>218</v>
      </c>
      <c r="M10" s="668">
        <f>F535CurrFY</f>
        <v>0</v>
      </c>
      <c r="N10" s="669">
        <f>F535BudgFY</f>
        <v>0</v>
      </c>
      <c r="O10" s="577"/>
      <c r="P10" s="577"/>
      <c r="Q10" s="577"/>
      <c r="R10" s="577"/>
      <c r="S10" s="577"/>
      <c r="T10" s="577"/>
      <c r="U10" s="577"/>
    </row>
    <row r="11" spans="1:21" ht="12" customHeight="1">
      <c r="A11" s="683" t="s">
        <v>347</v>
      </c>
      <c r="B11" s="684"/>
      <c r="C11" s="635">
        <f>TotFedProjFundCurrFY</f>
        <v>163923</v>
      </c>
      <c r="D11" s="635">
        <f>TotFedProjFundBudgFY</f>
        <v>117170</v>
      </c>
      <c r="E11" s="635">
        <f t="shared" si="0"/>
        <v>-46753</v>
      </c>
      <c r="F11" s="685">
        <f t="shared" si="1"/>
        <v>-0.28499999999999998</v>
      </c>
      <c r="G11" s="1770"/>
      <c r="H11" s="1770"/>
      <c r="I11" s="1770"/>
      <c r="J11" s="1770"/>
      <c r="K11" s="679"/>
      <c r="L11" s="686" t="s">
        <v>219</v>
      </c>
      <c r="M11" s="668">
        <f>F540CurrFY</f>
        <v>0</v>
      </c>
      <c r="N11" s="669">
        <f>F540BudgFY</f>
        <v>0</v>
      </c>
      <c r="O11" s="577"/>
      <c r="P11" s="577"/>
      <c r="Q11" s="577"/>
      <c r="R11" s="577"/>
      <c r="S11" s="577"/>
      <c r="T11" s="577"/>
      <c r="U11" s="577"/>
    </row>
    <row r="12" spans="1:21" ht="12" customHeight="1">
      <c r="A12" s="687" t="s">
        <v>348</v>
      </c>
      <c r="B12" s="684"/>
      <c r="C12" s="634">
        <f>TotStateProjFundCurrFY</f>
        <v>0</v>
      </c>
      <c r="D12" s="634">
        <f>TotStateProjFundBudgFY</f>
        <v>0</v>
      </c>
      <c r="E12" s="634">
        <f t="shared" si="0"/>
        <v>0</v>
      </c>
      <c r="F12" s="685">
        <f t="shared" si="1"/>
        <v>0</v>
      </c>
      <c r="G12" s="1770"/>
      <c r="H12" s="1770"/>
      <c r="I12" s="1770"/>
      <c r="J12" s="1770"/>
      <c r="K12" s="679"/>
      <c r="L12" s="686" t="s">
        <v>221</v>
      </c>
      <c r="M12" s="668">
        <f>F545CurrFY</f>
        <v>0</v>
      </c>
      <c r="N12" s="669">
        <f>F545BudgFY</f>
        <v>0</v>
      </c>
      <c r="O12" s="577"/>
      <c r="P12" s="577"/>
      <c r="Q12" s="577"/>
      <c r="R12" s="577"/>
      <c r="S12" s="577"/>
      <c r="T12" s="577"/>
      <c r="U12" s="577"/>
    </row>
    <row r="13" spans="1:21" ht="12" customHeight="1">
      <c r="A13" s="683" t="s">
        <v>180</v>
      </c>
      <c r="B13" s="684"/>
      <c r="C13" s="634">
        <f>F610TotalCurrFY</f>
        <v>997000</v>
      </c>
      <c r="D13" s="634">
        <f>F610TotalBudgFY</f>
        <v>695200</v>
      </c>
      <c r="E13" s="634">
        <f t="shared" si="0"/>
        <v>-301800</v>
      </c>
      <c r="F13" s="685">
        <f t="shared" si="1"/>
        <v>-0.30299999999999999</v>
      </c>
      <c r="G13" s="1770"/>
      <c r="H13" s="1770"/>
      <c r="I13" s="1770"/>
      <c r="J13" s="1770"/>
      <c r="K13" s="679"/>
      <c r="L13" s="667" t="s">
        <v>223</v>
      </c>
      <c r="M13" s="668">
        <f>F550CurrFY</f>
        <v>1000</v>
      </c>
      <c r="N13" s="669">
        <f>F550BudgFY</f>
        <v>1000</v>
      </c>
      <c r="O13" s="577"/>
      <c r="P13" s="577"/>
      <c r="Q13" s="577"/>
      <c r="R13" s="577"/>
      <c r="S13" s="577"/>
      <c r="T13" s="577"/>
      <c r="U13" s="577"/>
    </row>
    <row r="14" spans="1:21" ht="12" customHeight="1">
      <c r="A14" s="683" t="s">
        <v>193</v>
      </c>
      <c r="B14" s="684"/>
      <c r="C14" s="634">
        <f>F695TotalCurrFY</f>
        <v>0</v>
      </c>
      <c r="D14" s="634">
        <f>F695TotalBudgFY</f>
        <v>0</v>
      </c>
      <c r="E14" s="634">
        <f t="shared" si="0"/>
        <v>0</v>
      </c>
      <c r="F14" s="685">
        <f t="shared" si="1"/>
        <v>0</v>
      </c>
      <c r="G14" s="1770"/>
      <c r="H14" s="1770"/>
      <c r="I14" s="1770"/>
      <c r="J14" s="1770"/>
      <c r="K14" s="679"/>
      <c r="L14" s="667" t="s">
        <v>225</v>
      </c>
      <c r="M14" s="668">
        <f>F555CurrFY</f>
        <v>50</v>
      </c>
      <c r="N14" s="669">
        <f>F555BudgFY</f>
        <v>50</v>
      </c>
      <c r="O14" s="577"/>
      <c r="P14" s="577"/>
      <c r="Q14" s="577"/>
      <c r="R14" s="577"/>
      <c r="S14" s="577"/>
      <c r="T14" s="577"/>
      <c r="U14" s="577"/>
    </row>
    <row r="15" spans="1:21" ht="12" customHeight="1">
      <c r="A15" s="683" t="s">
        <v>194</v>
      </c>
      <c r="B15" s="684"/>
      <c r="C15" s="634">
        <f>F620TotalCurrFY</f>
        <v>0</v>
      </c>
      <c r="D15" s="634">
        <f>F620TotalBudgFY</f>
        <v>0</v>
      </c>
      <c r="E15" s="634">
        <f t="shared" ref="E15:E21" si="2">D15-C15</f>
        <v>0</v>
      </c>
      <c r="F15" s="685">
        <f t="shared" si="1"/>
        <v>0</v>
      </c>
      <c r="G15" s="583"/>
      <c r="H15" s="583"/>
      <c r="I15" s="583"/>
      <c r="J15" s="583"/>
      <c r="K15" s="679"/>
      <c r="L15" s="667" t="s">
        <v>227</v>
      </c>
      <c r="M15" s="668">
        <f>F565CurrFY</f>
        <v>9864</v>
      </c>
      <c r="N15" s="669">
        <f>F565BudgFY</f>
        <v>9864</v>
      </c>
      <c r="O15" s="577"/>
      <c r="P15" s="577"/>
      <c r="Q15" s="577"/>
      <c r="R15" s="577"/>
      <c r="S15" s="577"/>
      <c r="T15" s="577"/>
      <c r="U15" s="577"/>
    </row>
    <row r="16" spans="1:21" ht="12" customHeight="1">
      <c r="A16" s="683" t="s">
        <v>349</v>
      </c>
      <c r="B16" s="684"/>
      <c r="C16" s="634">
        <f>F700CurrFY</f>
        <v>0</v>
      </c>
      <c r="D16" s="634">
        <f>F700BudgFY</f>
        <v>0</v>
      </c>
      <c r="E16" s="634">
        <f t="shared" si="2"/>
        <v>0</v>
      </c>
      <c r="F16" s="685">
        <f t="shared" si="1"/>
        <v>0</v>
      </c>
      <c r="G16" s="1770" t="str">
        <f>IF((F001P200Subtotal&gt;0)*AND(OR((SUM(TotalFTESpecEdTeacher+TotalFTESpecEdStaff=0,(SUM(SPEDTeacher+SPEDStaff=0)))))),"Incomplete: Please complete the Special Education section of the Proposed Staffing Table below."," ")</f>
        <v xml:space="preserve"> </v>
      </c>
      <c r="H16" s="1770"/>
      <c r="I16" s="1770"/>
      <c r="J16" s="1770"/>
      <c r="K16" s="583"/>
      <c r="L16" s="667" t="s">
        <v>229</v>
      </c>
      <c r="M16" s="668">
        <f>F570CurrFY</f>
        <v>60000</v>
      </c>
      <c r="N16" s="669">
        <f>F570BudgFY</f>
        <v>64000</v>
      </c>
      <c r="O16" s="577"/>
      <c r="P16" s="577"/>
      <c r="Q16" s="577"/>
      <c r="R16" s="577"/>
      <c r="S16" s="577"/>
      <c r="T16" s="577"/>
      <c r="U16" s="577"/>
    </row>
    <row r="17" spans="1:21" ht="12" customHeight="1">
      <c r="A17" s="285" t="s">
        <v>350</v>
      </c>
      <c r="B17" s="688"/>
      <c r="C17" s="640">
        <f>F500CurrFY</f>
        <v>0</v>
      </c>
      <c r="D17" s="634">
        <f>F500BudgFY</f>
        <v>0</v>
      </c>
      <c r="E17" s="634">
        <f t="shared" si="2"/>
        <v>0</v>
      </c>
      <c r="F17" s="685">
        <f t="shared" si="1"/>
        <v>0</v>
      </c>
      <c r="G17" s="1770"/>
      <c r="H17" s="1770"/>
      <c r="I17" s="1770"/>
      <c r="J17" s="1770"/>
      <c r="K17" s="679"/>
      <c r="L17" s="667" t="s">
        <v>231</v>
      </c>
      <c r="M17" s="668">
        <f>F575CurrFY</f>
        <v>0</v>
      </c>
      <c r="N17" s="669">
        <f>F575BudgFY</f>
        <v>0</v>
      </c>
      <c r="O17" s="577"/>
      <c r="P17" s="577"/>
      <c r="Q17" s="577"/>
      <c r="R17" s="577"/>
      <c r="S17" s="577"/>
      <c r="T17" s="577"/>
      <c r="U17" s="577"/>
    </row>
    <row r="18" spans="1:21" ht="12" customHeight="1">
      <c r="A18" s="683" t="s">
        <v>351</v>
      </c>
      <c r="B18" s="684"/>
      <c r="C18" s="634">
        <f>F525CurrFY</f>
        <v>0</v>
      </c>
      <c r="D18" s="634">
        <f>F525BudgFY</f>
        <v>0</v>
      </c>
      <c r="E18" s="634">
        <f t="shared" si="2"/>
        <v>0</v>
      </c>
      <c r="F18" s="685">
        <f t="shared" si="1"/>
        <v>0</v>
      </c>
      <c r="G18" s="1770"/>
      <c r="H18" s="1770"/>
      <c r="I18" s="1770"/>
      <c r="J18" s="1770"/>
      <c r="K18" s="679"/>
      <c r="L18" s="667" t="s">
        <v>233</v>
      </c>
      <c r="M18" s="668">
        <f>F580CurrFY</f>
        <v>140000</v>
      </c>
      <c r="N18" s="669">
        <f>F580BudgFY</f>
        <v>140000</v>
      </c>
      <c r="O18" s="577"/>
      <c r="P18" s="577"/>
      <c r="Q18" s="577"/>
      <c r="R18" s="577"/>
      <c r="S18" s="577"/>
      <c r="T18" s="577"/>
      <c r="U18" s="577"/>
    </row>
    <row r="19" spans="1:21" ht="12" customHeight="1">
      <c r="A19" s="683" t="s">
        <v>192</v>
      </c>
      <c r="B19" s="684"/>
      <c r="C19" s="634">
        <f>F630TotalCurrFY</f>
        <v>0</v>
      </c>
      <c r="D19" s="634">
        <f>F630TotalBudgFY</f>
        <v>0</v>
      </c>
      <c r="E19" s="634">
        <f t="shared" si="2"/>
        <v>0</v>
      </c>
      <c r="F19" s="685">
        <f t="shared" si="1"/>
        <v>0</v>
      </c>
      <c r="G19" s="1770"/>
      <c r="H19" s="1770"/>
      <c r="I19" s="1770"/>
      <c r="J19" s="1770"/>
      <c r="K19" s="679"/>
      <c r="L19" s="667" t="s">
        <v>235</v>
      </c>
      <c r="M19" s="668">
        <f>F585CurrFY</f>
        <v>2260</v>
      </c>
      <c r="N19" s="669">
        <f>F585BudgFY</f>
        <v>2260</v>
      </c>
      <c r="O19" s="577"/>
      <c r="P19" s="577"/>
      <c r="Q19" s="577"/>
      <c r="R19" s="577"/>
      <c r="S19" s="577"/>
      <c r="T19" s="577"/>
      <c r="U19" s="577"/>
    </row>
    <row r="20" spans="1:21" ht="12" customHeight="1">
      <c r="A20" s="683" t="s">
        <v>352</v>
      </c>
      <c r="B20" s="684"/>
      <c r="C20" s="634">
        <f>F510CurrFY</f>
        <v>115000</v>
      </c>
      <c r="D20" s="634">
        <f>F510BudgFY</f>
        <v>123600</v>
      </c>
      <c r="E20" s="634">
        <f t="shared" si="2"/>
        <v>8600</v>
      </c>
      <c r="F20" s="685">
        <f t="shared" si="1"/>
        <v>7.4999999999999997E-2</v>
      </c>
      <c r="G20" s="1770"/>
      <c r="H20" s="1770"/>
      <c r="I20" s="1770"/>
      <c r="J20" s="1770"/>
      <c r="K20" s="679"/>
      <c r="L20" s="686" t="s">
        <v>236</v>
      </c>
      <c r="M20" s="668">
        <f>F590CurrFY</f>
        <v>0</v>
      </c>
      <c r="N20" s="669">
        <f>F590BudgFY</f>
        <v>0</v>
      </c>
      <c r="O20" s="577"/>
      <c r="P20" s="577"/>
      <c r="Q20" s="577"/>
      <c r="R20" s="577"/>
      <c r="S20" s="577"/>
      <c r="T20" s="577"/>
      <c r="U20" s="577"/>
    </row>
    <row r="21" spans="1:21" ht="12" customHeight="1">
      <c r="A21" s="639" t="s">
        <v>83</v>
      </c>
      <c r="B21" s="689"/>
      <c r="C21" s="640">
        <f>M37</f>
        <v>3627424</v>
      </c>
      <c r="D21" s="640">
        <f>N37</f>
        <v>3378726</v>
      </c>
      <c r="E21" s="640">
        <f t="shared" si="2"/>
        <v>-248698</v>
      </c>
      <c r="F21" s="690">
        <f t="shared" si="1"/>
        <v>-6.9000000000000006E-2</v>
      </c>
      <c r="G21" s="1770"/>
      <c r="H21" s="1770"/>
      <c r="I21" s="1770"/>
      <c r="J21" s="1770"/>
      <c r="K21" s="679"/>
      <c r="L21" s="667" t="s">
        <v>237</v>
      </c>
      <c r="M21" s="668">
        <f>F595CurrFY</f>
        <v>0</v>
      </c>
      <c r="N21" s="669">
        <f>F595BudgFY</f>
        <v>0</v>
      </c>
      <c r="O21" s="577"/>
      <c r="P21" s="577"/>
      <c r="Q21" s="577"/>
      <c r="R21" s="577"/>
      <c r="S21" s="577"/>
      <c r="T21" s="577"/>
      <c r="U21" s="577"/>
    </row>
    <row r="22" spans="1:21" ht="12" customHeight="1">
      <c r="A22" s="577"/>
      <c r="B22" s="577"/>
      <c r="C22" s="577"/>
      <c r="D22" s="577"/>
      <c r="E22" s="577"/>
      <c r="F22" s="577"/>
      <c r="G22" s="1770"/>
      <c r="H22" s="1770"/>
      <c r="I22" s="1770"/>
      <c r="J22" s="1770"/>
      <c r="K22" s="679"/>
      <c r="L22" s="667" t="s">
        <v>238</v>
      </c>
      <c r="M22" s="668">
        <f>F596CurrFY</f>
        <v>0</v>
      </c>
      <c r="N22" s="669">
        <f>F596BudgFY</f>
        <v>0</v>
      </c>
      <c r="O22" s="577"/>
      <c r="P22" s="577"/>
      <c r="Q22" s="577"/>
      <c r="R22" s="577"/>
      <c r="S22" s="577"/>
      <c r="T22" s="577"/>
      <c r="U22" s="577"/>
    </row>
    <row r="23" spans="1:21" ht="14.25" customHeight="1">
      <c r="A23" s="1776" t="s">
        <v>1117</v>
      </c>
      <c r="B23" s="1777"/>
      <c r="C23" s="1777"/>
      <c r="D23" s="1777"/>
      <c r="E23" s="1778"/>
      <c r="F23" s="691"/>
      <c r="G23" s="1770"/>
      <c r="H23" s="1770"/>
      <c r="I23" s="1770"/>
      <c r="J23" s="1770"/>
      <c r="K23" s="679"/>
      <c r="L23" s="682" t="s">
        <v>240</v>
      </c>
      <c r="M23" s="668">
        <f>F597CurrFY</f>
        <v>0</v>
      </c>
      <c r="N23" s="669">
        <f>F597BudgFY</f>
        <v>0</v>
      </c>
      <c r="O23" s="577"/>
      <c r="P23" s="577"/>
      <c r="Q23" s="577"/>
      <c r="R23" s="577"/>
      <c r="S23" s="577"/>
      <c r="T23" s="577"/>
      <c r="U23" s="577"/>
    </row>
    <row r="24" spans="1:21" ht="12" customHeight="1" thickBot="1">
      <c r="A24" s="1774" t="s">
        <v>353</v>
      </c>
      <c r="B24" s="1775"/>
      <c r="C24" s="1775"/>
      <c r="D24" s="665" t="s">
        <v>129</v>
      </c>
      <c r="E24" s="665" t="s">
        <v>130</v>
      </c>
      <c r="F24" s="577"/>
      <c r="G24" s="1770"/>
      <c r="H24" s="1770"/>
      <c r="I24" s="1770"/>
      <c r="J24" s="1770"/>
      <c r="K24" s="583"/>
      <c r="L24" s="686" t="s">
        <v>241</v>
      </c>
      <c r="M24" s="668">
        <f>F639CurrFY</f>
        <v>0</v>
      </c>
      <c r="N24" s="669">
        <f>F639BudgFY</f>
        <v>0</v>
      </c>
      <c r="O24" s="577"/>
      <c r="P24" s="577"/>
      <c r="Q24" s="577"/>
      <c r="R24" s="577"/>
      <c r="S24" s="577"/>
      <c r="T24" s="577"/>
      <c r="U24" s="577"/>
    </row>
    <row r="25" spans="1:21" ht="12" customHeight="1">
      <c r="A25" s="692" t="s">
        <v>882</v>
      </c>
      <c r="B25" s="693"/>
      <c r="C25" s="693"/>
      <c r="D25" s="694">
        <f>F001P200PYDisabilityTot</f>
        <v>609856</v>
      </c>
      <c r="E25" s="694">
        <f>F001P200Subtotal</f>
        <v>458395</v>
      </c>
      <c r="F25" s="577"/>
      <c r="G25" s="1770"/>
      <c r="H25" s="1770"/>
      <c r="I25" s="1770"/>
      <c r="J25" s="1770"/>
      <c r="K25" s="583"/>
      <c r="L25" s="686" t="s">
        <v>243</v>
      </c>
      <c r="M25" s="668">
        <f>F650CurrFY</f>
        <v>0</v>
      </c>
      <c r="N25" s="669">
        <f>F650BudgFY</f>
        <v>0</v>
      </c>
      <c r="O25" s="577"/>
      <c r="P25" s="577"/>
      <c r="Q25" s="577"/>
      <c r="R25" s="577"/>
      <c r="S25" s="577"/>
      <c r="T25" s="577"/>
      <c r="U25" s="577"/>
    </row>
    <row r="26" spans="1:21" ht="11.25" customHeight="1">
      <c r="A26" s="695" t="s">
        <v>966</v>
      </c>
      <c r="B26" s="584"/>
      <c r="C26" s="584"/>
      <c r="D26" s="639">
        <f>SPEDGiftedEdCurrFY</f>
        <v>0</v>
      </c>
      <c r="E26" s="639">
        <f>SPEDGiftedEdBudgFY</f>
        <v>0</v>
      </c>
      <c r="F26" s="577"/>
      <c r="G26" s="696"/>
      <c r="H26" s="584"/>
      <c r="I26" s="584"/>
      <c r="J26" s="584"/>
      <c r="K26" s="583"/>
      <c r="L26" s="686" t="s">
        <v>244</v>
      </c>
      <c r="M26" s="668">
        <f>F660CurrFY</f>
        <v>0</v>
      </c>
      <c r="N26" s="669">
        <f>F660BudgFY</f>
        <v>0</v>
      </c>
      <c r="O26" s="577"/>
      <c r="P26" s="577"/>
      <c r="Q26" s="577"/>
      <c r="R26" s="577"/>
      <c r="S26" s="577"/>
      <c r="T26" s="577"/>
      <c r="U26" s="577"/>
    </row>
    <row r="27" spans="1:21" ht="12" customHeight="1">
      <c r="A27" s="695" t="s">
        <v>967</v>
      </c>
      <c r="B27" s="584"/>
      <c r="C27" s="584"/>
      <c r="D27" s="639">
        <f>SPEDRemedialEdCurrFY</f>
        <v>0</v>
      </c>
      <c r="E27" s="639">
        <f>SPEDRemedialEdBudgFY</f>
        <v>0</v>
      </c>
      <c r="F27" s="577"/>
      <c r="G27" s="577"/>
      <c r="H27" s="577"/>
      <c r="I27" s="577"/>
      <c r="J27" s="577"/>
      <c r="K27" s="583"/>
      <c r="L27" s="686" t="s">
        <v>245</v>
      </c>
      <c r="M27" s="668">
        <f>F665CurrFY</f>
        <v>1250</v>
      </c>
      <c r="N27" s="669">
        <f>F665BudgFY</f>
        <v>1250</v>
      </c>
      <c r="O27" s="577"/>
      <c r="P27" s="577"/>
      <c r="Q27" s="577"/>
      <c r="R27" s="577"/>
      <c r="S27" s="577"/>
      <c r="T27" s="577"/>
      <c r="U27" s="577"/>
    </row>
    <row r="28" spans="1:21" ht="12" customHeight="1">
      <c r="A28" s="697" t="s">
        <v>968</v>
      </c>
      <c r="B28" s="693"/>
      <c r="C28" s="693"/>
      <c r="D28" s="639">
        <f>SPEDELLIncCostCurrFY</f>
        <v>0</v>
      </c>
      <c r="E28" s="639">
        <f>SPEDELLIncCostBudgFY</f>
        <v>0</v>
      </c>
      <c r="F28" s="577"/>
      <c r="G28" s="577"/>
      <c r="H28" s="577"/>
      <c r="I28" s="577"/>
      <c r="J28" s="577"/>
      <c r="K28" s="583"/>
      <c r="L28" s="686" t="s">
        <v>246</v>
      </c>
      <c r="M28" s="668">
        <f>F686CurrFY</f>
        <v>0</v>
      </c>
      <c r="N28" s="669">
        <f>F686BudgFY</f>
        <v>0</v>
      </c>
      <c r="O28" s="577"/>
      <c r="P28" s="577"/>
      <c r="Q28" s="577"/>
      <c r="R28" s="577"/>
      <c r="S28" s="577"/>
      <c r="T28" s="577"/>
      <c r="U28" s="577"/>
    </row>
    <row r="29" spans="1:21" ht="12" customHeight="1">
      <c r="A29" s="697" t="s">
        <v>969</v>
      </c>
      <c r="B29" s="693"/>
      <c r="C29" s="693"/>
      <c r="D29" s="639">
        <f>SPEDELLCompInstrCurrFY</f>
        <v>0</v>
      </c>
      <c r="E29" s="639">
        <f>SPEDELLCompInstrBudgFY</f>
        <v>0</v>
      </c>
      <c r="F29" s="577"/>
      <c r="G29" s="577"/>
      <c r="H29" s="577"/>
      <c r="I29" s="577"/>
      <c r="J29" s="577"/>
      <c r="K29" s="583"/>
      <c r="L29" s="686" t="s">
        <v>247</v>
      </c>
      <c r="M29" s="698">
        <f>F691CurrFY</f>
        <v>0</v>
      </c>
      <c r="N29" s="699">
        <f>F691BudgFY</f>
        <v>0</v>
      </c>
      <c r="O29" s="577"/>
      <c r="P29" s="577"/>
      <c r="Q29" s="577"/>
      <c r="R29" s="577"/>
      <c r="S29" s="577"/>
      <c r="T29" s="577"/>
      <c r="U29" s="577"/>
    </row>
    <row r="30" spans="1:21" ht="12" customHeight="1">
      <c r="A30" s="695" t="s">
        <v>970</v>
      </c>
      <c r="B30" s="584"/>
      <c r="C30" s="584"/>
      <c r="D30" s="639">
        <f>SPEDVocTechEdCurrFY</f>
        <v>0</v>
      </c>
      <c r="E30" s="639">
        <f>SPEDVocTechEdBudgFY</f>
        <v>0</v>
      </c>
      <c r="F30" s="577"/>
      <c r="G30" s="577"/>
      <c r="H30" s="577"/>
      <c r="I30" s="577"/>
      <c r="J30" s="577"/>
      <c r="K30" s="577"/>
      <c r="L30" s="686" t="s">
        <v>251</v>
      </c>
      <c r="M30" s="698">
        <f>F720CurrFY</f>
        <v>0</v>
      </c>
      <c r="N30" s="699">
        <f>F720BudgFY</f>
        <v>0</v>
      </c>
      <c r="O30" s="700"/>
      <c r="P30" s="1300"/>
      <c r="Q30" s="1300"/>
      <c r="R30" s="1300"/>
      <c r="S30" s="1300"/>
      <c r="T30" s="1300"/>
      <c r="U30" s="594"/>
    </row>
    <row r="31" spans="1:21" ht="12" customHeight="1">
      <c r="A31" s="695" t="s">
        <v>971</v>
      </c>
      <c r="B31" s="584"/>
      <c r="C31" s="584"/>
      <c r="D31" s="640">
        <f>SPEDCareerEdCurrFY</f>
        <v>0</v>
      </c>
      <c r="E31" s="640">
        <f>SPEDCareerEdBudgFY</f>
        <v>0</v>
      </c>
      <c r="F31" s="577"/>
      <c r="G31" s="577"/>
      <c r="H31" s="577"/>
      <c r="I31" s="577"/>
      <c r="J31" s="577"/>
      <c r="K31" s="577"/>
      <c r="L31" s="701" t="s">
        <v>254</v>
      </c>
      <c r="M31" s="698">
        <f>F850CurrFY</f>
        <v>28000</v>
      </c>
      <c r="N31" s="699">
        <f>F850BudgFY</f>
        <v>28000</v>
      </c>
      <c r="O31" s="700"/>
      <c r="P31" s="1300"/>
      <c r="Q31" s="1300"/>
      <c r="R31" s="1300"/>
      <c r="S31" s="1300"/>
      <c r="T31" s="1300"/>
      <c r="U31" s="577"/>
    </row>
    <row r="32" spans="1:21" ht="12" customHeight="1" thickBot="1">
      <c r="A32" s="702" t="s">
        <v>972</v>
      </c>
      <c r="B32" s="693"/>
      <c r="C32" s="693"/>
      <c r="D32" s="703">
        <f t="array" ref="D32">[1]!SummCTEDBY</f>
        <v>0</v>
      </c>
      <c r="E32" s="703">
        <f>JTEDBudgFY</f>
        <v>0</v>
      </c>
      <c r="F32" s="577"/>
      <c r="G32" s="577"/>
      <c r="H32" s="577"/>
      <c r="I32" s="577"/>
      <c r="J32" s="577"/>
      <c r="K32" s="577"/>
      <c r="L32" s="667" t="str">
        <f>'Page 6'!O38</f>
        <v>Other __Employee Withholdings_________________</v>
      </c>
      <c r="M32" s="668">
        <f>OtherFundsCurrFY</f>
        <v>3000000</v>
      </c>
      <c r="N32" s="669">
        <f>OtherFundsBudgFY</f>
        <v>2855000</v>
      </c>
      <c r="O32" s="577"/>
      <c r="P32" s="577"/>
      <c r="Q32" s="577"/>
      <c r="R32" s="577"/>
      <c r="S32" s="577"/>
      <c r="T32" s="577"/>
      <c r="U32" s="577"/>
    </row>
    <row r="33" spans="1:21" ht="12" customHeight="1" thickBot="1">
      <c r="A33" s="704" t="s">
        <v>354</v>
      </c>
      <c r="B33" s="705" t="s">
        <v>359</v>
      </c>
      <c r="C33" s="705"/>
      <c r="D33" s="706">
        <f>SUM(D25:D32)</f>
        <v>609856</v>
      </c>
      <c r="E33" s="706">
        <f>SUM(E25:E32)</f>
        <v>458395</v>
      </c>
      <c r="F33" s="1784" t="str">
        <f>IF(SUM(E25:E32)=F001P200TotBudgFY,"","INVALID. The amount should equal the total budgeted amount reported on line 24, page 1.")</f>
        <v/>
      </c>
      <c r="G33" s="1784"/>
      <c r="H33" s="1784"/>
      <c r="I33" s="1784"/>
      <c r="J33" s="1784"/>
      <c r="K33" s="577"/>
      <c r="L33" s="707" t="str">
        <f>'Page 6'!O40</f>
        <v>9___ Self-Insurance</v>
      </c>
      <c r="M33" s="668">
        <f>F9__SelfInsCurrFY</f>
        <v>0</v>
      </c>
      <c r="N33" s="669">
        <f>F9__SelfInsBudgFY</f>
        <v>0</v>
      </c>
      <c r="O33" s="577"/>
      <c r="P33" s="577"/>
      <c r="Q33" s="577"/>
      <c r="R33" s="577"/>
      <c r="S33" s="577"/>
      <c r="T33" s="577"/>
      <c r="U33" s="577"/>
    </row>
    <row r="34" spans="1:21" ht="12" customHeight="1" thickTop="1">
      <c r="A34" s="577"/>
      <c r="B34" s="577"/>
      <c r="C34" s="577"/>
      <c r="D34" s="577"/>
      <c r="E34" s="577"/>
      <c r="F34" s="1784"/>
      <c r="G34" s="1784"/>
      <c r="H34" s="1784"/>
      <c r="I34" s="1784"/>
      <c r="J34" s="1784"/>
      <c r="K34" s="577"/>
      <c r="L34" s="686" t="s">
        <v>258</v>
      </c>
      <c r="M34" s="668">
        <f>F955CurrFY</f>
        <v>55000</v>
      </c>
      <c r="N34" s="669">
        <f>F955BudgFY</f>
        <v>55000</v>
      </c>
      <c r="O34" s="577"/>
      <c r="P34" s="577"/>
      <c r="Q34" s="577"/>
      <c r="R34" s="577"/>
      <c r="S34" s="577"/>
      <c r="T34" s="577"/>
      <c r="U34" s="577"/>
    </row>
    <row r="35" spans="1:21" ht="10.5" customHeight="1">
      <c r="A35" s="1779" t="s">
        <v>355</v>
      </c>
      <c r="B35" s="1780"/>
      <c r="C35" s="1780"/>
      <c r="D35" s="1780"/>
      <c r="E35" s="1780"/>
      <c r="F35" s="1780"/>
      <c r="G35" s="1780"/>
      <c r="H35" s="1781"/>
      <c r="I35" s="577"/>
      <c r="J35" s="577"/>
      <c r="K35" s="577"/>
      <c r="L35" s="667" t="str">
        <f>'Page 6'!O42</f>
        <v>9__  OPEB</v>
      </c>
      <c r="M35" s="668">
        <f>F9__OPEBCurrFY</f>
        <v>0</v>
      </c>
      <c r="N35" s="669">
        <f>F9__OPEBBudgFY</f>
        <v>0</v>
      </c>
      <c r="O35" s="577"/>
      <c r="P35" s="577"/>
      <c r="Q35" s="577"/>
      <c r="R35" s="577"/>
      <c r="S35" s="577"/>
      <c r="T35" s="577"/>
      <c r="U35" s="577"/>
    </row>
    <row r="36" spans="1:21" ht="21" customHeight="1">
      <c r="A36" s="625" t="s">
        <v>1120</v>
      </c>
      <c r="B36" s="626"/>
      <c r="C36" s="626"/>
      <c r="D36" s="708" t="s">
        <v>1119</v>
      </c>
      <c r="E36" s="709" t="s">
        <v>356</v>
      </c>
      <c r="F36" s="710" t="s">
        <v>357</v>
      </c>
      <c r="G36" s="1768" t="s">
        <v>1121</v>
      </c>
      <c r="H36" s="1769"/>
      <c r="I36" s="577"/>
      <c r="J36" s="577"/>
      <c r="K36" s="577"/>
      <c r="L36" s="707" t="str">
        <f>'Page 6'!O43</f>
        <v>9___   ______________________</v>
      </c>
      <c r="M36" s="668">
        <f>F9__OtherCurrFY</f>
        <v>0</v>
      </c>
      <c r="N36" s="669">
        <f>F9__OtherBudgFY</f>
        <v>0</v>
      </c>
      <c r="O36" s="577"/>
      <c r="P36" s="577"/>
      <c r="Q36" s="577"/>
      <c r="R36" s="577"/>
      <c r="S36" s="577"/>
      <c r="T36" s="577"/>
      <c r="U36" s="577"/>
    </row>
    <row r="37" spans="1:21" ht="12" customHeight="1">
      <c r="A37" s="711" t="s">
        <v>358</v>
      </c>
      <c r="B37" s="584"/>
      <c r="C37" s="584"/>
      <c r="D37" s="693"/>
      <c r="E37" s="693"/>
      <c r="F37" s="584"/>
      <c r="G37" s="705"/>
      <c r="H37" s="712"/>
      <c r="I37" s="577"/>
      <c r="J37" s="577"/>
      <c r="K37" s="577"/>
      <c r="L37" s="713" t="s">
        <v>359</v>
      </c>
      <c r="M37" s="714">
        <f>SUM(M5:M36)</f>
        <v>3627424</v>
      </c>
      <c r="N37" s="669">
        <f>SUM(N5:N36)</f>
        <v>3378726</v>
      </c>
      <c r="O37" s="577"/>
      <c r="P37" s="577"/>
      <c r="Q37" s="577"/>
      <c r="R37" s="577"/>
      <c r="S37" s="577"/>
      <c r="T37" s="577"/>
      <c r="U37" s="577"/>
    </row>
    <row r="38" spans="1:21" ht="12" customHeight="1">
      <c r="A38" s="695" t="s">
        <v>360</v>
      </c>
      <c r="B38" s="583"/>
      <c r="C38" s="583"/>
      <c r="D38" s="68"/>
      <c r="E38" s="68">
        <v>4</v>
      </c>
      <c r="F38" s="715">
        <f>D38+E38</f>
        <v>4</v>
      </c>
      <c r="G38" s="716" t="s">
        <v>361</v>
      </c>
      <c r="H38" s="1456">
        <f>IF(F38&gt;0,ROUND(BudgetYearADM/F38,1)," ")</f>
        <v>48</v>
      </c>
      <c r="I38" s="577"/>
      <c r="J38" s="577"/>
      <c r="K38" s="577"/>
      <c r="L38" s="577"/>
      <c r="M38" s="577"/>
      <c r="N38" s="603"/>
      <c r="O38" s="577"/>
      <c r="P38" s="577"/>
      <c r="Q38" s="577"/>
      <c r="R38" s="577"/>
      <c r="S38" s="577"/>
      <c r="T38" s="577"/>
      <c r="U38" s="577"/>
    </row>
    <row r="39" spans="1:21" ht="12" customHeight="1">
      <c r="A39" s="695" t="s">
        <v>362</v>
      </c>
      <c r="B39" s="583"/>
      <c r="C39" s="583"/>
      <c r="D39" s="69"/>
      <c r="E39" s="68">
        <v>24</v>
      </c>
      <c r="F39" s="715">
        <f>D39+E39</f>
        <v>24</v>
      </c>
      <c r="G39" s="718" t="s">
        <v>361</v>
      </c>
      <c r="H39" s="1456">
        <f>IF(F39&gt;0,ROUND(BudgetYearADM/F39,1)," ")</f>
        <v>8</v>
      </c>
      <c r="I39" s="577"/>
      <c r="J39" s="577"/>
      <c r="K39" s="577"/>
      <c r="L39" s="577"/>
      <c r="M39" s="577"/>
      <c r="N39" s="577"/>
      <c r="O39" s="577"/>
      <c r="P39" s="577"/>
      <c r="Q39" s="577"/>
      <c r="R39" s="577"/>
      <c r="S39" s="577"/>
      <c r="T39" s="577"/>
      <c r="U39" s="577"/>
    </row>
    <row r="40" spans="1:21" ht="12" customHeight="1">
      <c r="A40" s="695" t="s">
        <v>83</v>
      </c>
      <c r="B40" s="583"/>
      <c r="C40" s="583"/>
      <c r="D40" s="69"/>
      <c r="E40" s="69">
        <v>3</v>
      </c>
      <c r="F40" s="715">
        <f>D40+E40</f>
        <v>3</v>
      </c>
      <c r="G40" s="718" t="s">
        <v>361</v>
      </c>
      <c r="H40" s="1456">
        <f>IF(F40&gt;0,ROUND(BudgetYearADM/F40,1)," ")</f>
        <v>64</v>
      </c>
      <c r="I40" s="577"/>
      <c r="J40" s="577"/>
      <c r="K40" s="577"/>
      <c r="L40" s="577"/>
      <c r="M40" s="577"/>
      <c r="N40" s="577"/>
      <c r="O40" s="577"/>
      <c r="P40" s="577"/>
      <c r="Q40" s="577"/>
      <c r="R40" s="577"/>
      <c r="S40" s="577"/>
      <c r="T40" s="577"/>
      <c r="U40" s="577"/>
    </row>
    <row r="41" spans="1:21" ht="12" customHeight="1">
      <c r="A41" s="719"/>
      <c r="B41" s="696" t="s">
        <v>363</v>
      </c>
      <c r="C41" s="696"/>
      <c r="D41" s="717">
        <f>SUM(D38:D40)</f>
        <v>0</v>
      </c>
      <c r="E41" s="717">
        <f>SUM(E38:E40)</f>
        <v>31</v>
      </c>
      <c r="F41" s="715">
        <f>D41+E41</f>
        <v>31</v>
      </c>
      <c r="G41" s="718" t="s">
        <v>361</v>
      </c>
      <c r="H41" s="1456">
        <f>IF(F41&gt;0,ROUND(BudgetYearADM/F41,1)," ")</f>
        <v>6</v>
      </c>
      <c r="I41" s="577"/>
      <c r="J41" s="577"/>
      <c r="K41" s="577"/>
      <c r="L41" s="577"/>
      <c r="M41" s="577"/>
      <c r="N41" s="577"/>
      <c r="O41" s="577"/>
      <c r="P41" s="577"/>
      <c r="Q41" s="577"/>
      <c r="R41" s="577"/>
      <c r="S41" s="577"/>
      <c r="T41" s="577"/>
      <c r="U41" s="577"/>
    </row>
    <row r="42" spans="1:21" ht="12" customHeight="1">
      <c r="A42" s="695" t="s">
        <v>364</v>
      </c>
      <c r="B42" s="584"/>
      <c r="C42" s="584"/>
      <c r="D42" s="720"/>
      <c r="E42" s="720"/>
      <c r="F42" s="650"/>
      <c r="G42" s="721"/>
      <c r="H42" s="1456"/>
      <c r="I42" s="577"/>
      <c r="J42" s="577"/>
      <c r="K42" s="577"/>
      <c r="L42" s="577"/>
      <c r="M42" s="577"/>
      <c r="N42" s="577"/>
      <c r="O42" s="577"/>
      <c r="P42" s="577"/>
      <c r="Q42" s="577"/>
      <c r="R42" s="577"/>
      <c r="S42" s="577"/>
      <c r="T42" s="577"/>
      <c r="U42" s="577"/>
    </row>
    <row r="43" spans="1:21" ht="12" customHeight="1">
      <c r="A43" s="695" t="s">
        <v>365</v>
      </c>
      <c r="B43" s="583"/>
      <c r="C43" s="583"/>
      <c r="D43" s="68"/>
      <c r="E43" s="68">
        <v>6</v>
      </c>
      <c r="F43" s="715">
        <f>D43+E43</f>
        <v>6</v>
      </c>
      <c r="G43" s="722" t="s">
        <v>361</v>
      </c>
      <c r="H43" s="1456">
        <f>IF(F43&gt;0,ROUND(BudgetYearADM/F43,1)," ")</f>
        <v>32</v>
      </c>
      <c r="I43" s="577"/>
      <c r="J43" s="577"/>
      <c r="K43" s="577"/>
      <c r="L43" s="577"/>
      <c r="M43" s="577"/>
      <c r="N43" s="577"/>
      <c r="O43" s="577"/>
      <c r="P43" s="577"/>
      <c r="Q43" s="577"/>
      <c r="R43" s="577"/>
      <c r="S43" s="577"/>
      <c r="T43" s="577"/>
      <c r="U43" s="577"/>
    </row>
    <row r="44" spans="1:21">
      <c r="A44" s="695" t="s">
        <v>366</v>
      </c>
      <c r="B44" s="583"/>
      <c r="C44" s="583"/>
      <c r="D44" s="69"/>
      <c r="E44" s="68">
        <v>10</v>
      </c>
      <c r="F44" s="715">
        <f>D44+E44</f>
        <v>10</v>
      </c>
      <c r="G44" s="718" t="s">
        <v>361</v>
      </c>
      <c r="H44" s="1456">
        <f>IF(F44&gt;0,ROUND(BudgetYearADM/F44,1)," ")</f>
        <v>19</v>
      </c>
      <c r="I44" s="577"/>
      <c r="J44" s="577"/>
      <c r="K44" s="577"/>
      <c r="L44" s="577"/>
      <c r="M44" s="577"/>
      <c r="N44" s="577"/>
      <c r="O44" s="577"/>
      <c r="P44" s="577"/>
      <c r="Q44" s="577"/>
      <c r="R44" s="577"/>
      <c r="S44" s="577"/>
      <c r="T44" s="577"/>
      <c r="U44" s="577"/>
    </row>
    <row r="45" spans="1:21" ht="12" customHeight="1">
      <c r="A45" s="723" t="s">
        <v>83</v>
      </c>
      <c r="B45" s="583"/>
      <c r="C45" s="583"/>
      <c r="D45" s="69"/>
      <c r="E45" s="68">
        <v>28</v>
      </c>
      <c r="F45" s="715">
        <f>D45+E45</f>
        <v>28</v>
      </c>
      <c r="G45" s="718" t="s">
        <v>361</v>
      </c>
      <c r="H45" s="1456">
        <f>IF(F45&gt;0,ROUND(BudgetYearADM/F45,1)," ")</f>
        <v>7</v>
      </c>
      <c r="I45" s="583"/>
      <c r="J45" s="650"/>
      <c r="K45" s="724"/>
      <c r="L45" s="577"/>
      <c r="M45" s="577"/>
      <c r="N45" s="577"/>
      <c r="O45" s="577"/>
      <c r="P45" s="577"/>
      <c r="Q45" s="577"/>
      <c r="R45" s="577"/>
      <c r="S45" s="577"/>
      <c r="T45" s="577"/>
      <c r="U45" s="577"/>
    </row>
    <row r="46" spans="1:21" ht="12" customHeight="1">
      <c r="A46" s="725"/>
      <c r="B46" s="696" t="s">
        <v>363</v>
      </c>
      <c r="C46" s="696"/>
      <c r="D46" s="717">
        <f>SUM(D43:D45)</f>
        <v>0</v>
      </c>
      <c r="E46" s="717">
        <f>SUM(E43:E45)</f>
        <v>44</v>
      </c>
      <c r="F46" s="715">
        <f>D46+E46</f>
        <v>44</v>
      </c>
      <c r="G46" s="718" t="s">
        <v>361</v>
      </c>
      <c r="H46" s="1456">
        <f>IF(F46&gt;0,ROUND(BudgetYearADM/F46,1)," ")</f>
        <v>4</v>
      </c>
      <c r="I46" s="577"/>
      <c r="J46" s="577"/>
      <c r="K46" s="577"/>
      <c r="L46" s="577"/>
      <c r="M46" s="577"/>
      <c r="N46" s="577"/>
      <c r="O46" s="577"/>
      <c r="P46" s="577"/>
      <c r="Q46" s="577"/>
      <c r="R46" s="577"/>
      <c r="S46" s="577"/>
      <c r="T46" s="577"/>
      <c r="U46" s="577"/>
    </row>
    <row r="47" spans="1:21" ht="12" customHeight="1">
      <c r="A47" s="726"/>
      <c r="B47" s="721" t="s">
        <v>359</v>
      </c>
      <c r="C47" s="727"/>
      <c r="D47" s="717">
        <f>D41+D46</f>
        <v>0</v>
      </c>
      <c r="E47" s="717">
        <f>E41+E46</f>
        <v>75</v>
      </c>
      <c r="F47" s="715">
        <f>D47+E47</f>
        <v>75</v>
      </c>
      <c r="G47" s="718" t="s">
        <v>361</v>
      </c>
      <c r="H47" s="1456">
        <f>IF(F47&gt;0,ROUND(BudgetYearADM/F47,1)," ")</f>
        <v>3</v>
      </c>
      <c r="I47" s="728"/>
      <c r="J47" s="583"/>
      <c r="K47" s="583"/>
      <c r="L47" s="729"/>
      <c r="M47" s="577"/>
      <c r="N47" s="577"/>
      <c r="O47" s="577"/>
      <c r="P47" s="577"/>
      <c r="Q47" s="577"/>
      <c r="R47" s="577"/>
      <c r="S47" s="577"/>
      <c r="T47" s="577"/>
      <c r="U47" s="577"/>
    </row>
    <row r="48" spans="1:21" ht="6.75" customHeight="1">
      <c r="A48" s="730"/>
      <c r="B48" s="650"/>
      <c r="C48" s="650"/>
      <c r="D48" s="1457"/>
      <c r="E48" s="1457"/>
      <c r="F48" s="1458"/>
      <c r="G48" s="1459"/>
      <c r="H48" s="1460"/>
      <c r="I48" s="583"/>
      <c r="J48" s="583"/>
      <c r="K48" s="583"/>
      <c r="L48" s="577"/>
      <c r="M48" s="577"/>
      <c r="N48" s="577"/>
      <c r="O48" s="577"/>
      <c r="P48" s="577"/>
      <c r="Q48" s="577"/>
      <c r="R48" s="577"/>
      <c r="S48" s="577"/>
      <c r="T48" s="577"/>
      <c r="U48" s="577"/>
    </row>
    <row r="49" spans="1:21" ht="12" customHeight="1">
      <c r="A49" s="730" t="s">
        <v>367</v>
      </c>
      <c r="B49" s="650"/>
      <c r="C49" s="650"/>
      <c r="D49" s="1457"/>
      <c r="E49" s="1457"/>
      <c r="F49" s="1458"/>
      <c r="G49" s="1459"/>
      <c r="H49" s="1461"/>
      <c r="I49" s="583"/>
      <c r="J49" s="583"/>
      <c r="K49" s="583"/>
      <c r="L49" s="583"/>
      <c r="M49" s="577"/>
      <c r="N49" s="577"/>
      <c r="O49" s="577"/>
      <c r="P49" s="577"/>
      <c r="Q49" s="577"/>
      <c r="R49" s="577"/>
      <c r="S49" s="577"/>
      <c r="T49" s="577"/>
      <c r="U49" s="577"/>
    </row>
    <row r="50" spans="1:21" ht="10.5" customHeight="1">
      <c r="A50" s="730" t="s">
        <v>368</v>
      </c>
      <c r="B50" s="584"/>
      <c r="C50" s="584"/>
      <c r="D50" s="70"/>
      <c r="E50" s="71">
        <v>2</v>
      </c>
      <c r="F50" s="715">
        <f>D50+E50</f>
        <v>2</v>
      </c>
      <c r="G50" s="1462" t="s">
        <v>369</v>
      </c>
      <c r="H50" s="1463">
        <v>10</v>
      </c>
      <c r="I50" s="583"/>
      <c r="J50" s="583"/>
      <c r="K50" s="583"/>
      <c r="L50" s="583"/>
      <c r="M50" s="577"/>
      <c r="N50" s="577"/>
      <c r="O50" s="577"/>
      <c r="P50" s="577"/>
      <c r="Q50" s="577"/>
      <c r="R50" s="577"/>
      <c r="S50" s="577"/>
      <c r="T50" s="577"/>
      <c r="U50" s="577"/>
    </row>
    <row r="51" spans="1:21">
      <c r="A51" s="732" t="s">
        <v>370</v>
      </c>
      <c r="B51" s="733"/>
      <c r="C51" s="734"/>
      <c r="D51" s="70"/>
      <c r="E51" s="71">
        <v>2</v>
      </c>
      <c r="F51" s="715">
        <f>D51+E51</f>
        <v>2</v>
      </c>
      <c r="G51" s="1462" t="s">
        <v>369</v>
      </c>
      <c r="H51" s="1464">
        <v>10</v>
      </c>
      <c r="I51" s="649"/>
      <c r="J51" s="649"/>
      <c r="K51" s="649"/>
      <c r="L51" s="583"/>
      <c r="M51" s="577"/>
      <c r="N51" s="577"/>
      <c r="O51" s="577"/>
      <c r="P51" s="577"/>
      <c r="Q51" s="577"/>
      <c r="R51" s="577"/>
      <c r="S51" s="577"/>
      <c r="T51" s="577"/>
      <c r="U51" s="577"/>
    </row>
    <row r="52" spans="1:21">
      <c r="A52" s="577"/>
      <c r="B52" s="577"/>
      <c r="C52" s="577"/>
      <c r="D52" s="577"/>
      <c r="E52" s="577"/>
      <c r="F52" s="577"/>
      <c r="G52" s="577"/>
      <c r="H52" s="577"/>
      <c r="I52" s="577"/>
      <c r="J52" s="577"/>
      <c r="K52" s="583"/>
      <c r="L52" s="583"/>
      <c r="M52" s="577"/>
      <c r="N52" s="577"/>
      <c r="O52" s="577"/>
      <c r="P52" s="577"/>
      <c r="Q52" s="577"/>
      <c r="R52" s="577"/>
      <c r="S52" s="577"/>
      <c r="T52" s="577"/>
      <c r="U52" s="577"/>
    </row>
    <row r="53" spans="1:21">
      <c r="A53" s="577"/>
      <c r="B53" s="577"/>
      <c r="C53" s="577"/>
      <c r="D53" s="577"/>
      <c r="E53" s="577"/>
      <c r="F53" s="577"/>
      <c r="G53" s="577"/>
      <c r="H53" s="577"/>
      <c r="I53" s="577"/>
      <c r="J53" s="577"/>
      <c r="K53" s="583"/>
      <c r="L53" s="649"/>
      <c r="M53" s="577"/>
      <c r="N53" s="577"/>
      <c r="O53" s="577"/>
      <c r="P53" s="577"/>
      <c r="Q53" s="577"/>
      <c r="R53" s="577"/>
      <c r="S53" s="577"/>
      <c r="T53" s="577"/>
      <c r="U53" s="577"/>
    </row>
    <row r="54" spans="1:21">
      <c r="A54" s="577"/>
      <c r="B54" s="577"/>
      <c r="C54" s="577"/>
      <c r="D54" s="577"/>
      <c r="E54" s="577"/>
      <c r="F54" s="577"/>
      <c r="G54" s="577"/>
      <c r="H54" s="577"/>
      <c r="I54" s="577"/>
      <c r="J54" s="577"/>
      <c r="K54" s="583"/>
      <c r="L54" s="577"/>
      <c r="M54" s="577"/>
      <c r="N54" s="577"/>
      <c r="O54" s="577"/>
      <c r="P54" s="577"/>
      <c r="Q54" s="577"/>
      <c r="R54" s="577"/>
      <c r="S54" s="577"/>
      <c r="T54" s="577"/>
      <c r="U54" s="577"/>
    </row>
    <row r="55" spans="1:21">
      <c r="A55" s="577"/>
      <c r="B55" s="577"/>
      <c r="C55" s="577"/>
      <c r="D55" s="577"/>
      <c r="E55" s="577"/>
      <c r="F55" s="577"/>
      <c r="G55" s="577"/>
      <c r="H55" s="577"/>
      <c r="I55" s="577"/>
      <c r="J55" s="577"/>
      <c r="K55" s="731"/>
      <c r="L55" s="577"/>
      <c r="M55" s="577"/>
      <c r="N55" s="577"/>
      <c r="O55" s="577"/>
      <c r="P55" s="577"/>
      <c r="Q55" s="577"/>
      <c r="R55" s="577"/>
      <c r="S55" s="577"/>
      <c r="T55" s="577"/>
      <c r="U55" s="577"/>
    </row>
  </sheetData>
  <sheetProtection sheet="1"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zoomScaleNormal="100" workbookViewId="0"/>
  </sheetViews>
  <sheetFormatPr defaultColWidth="8.81640625" defaultRowHeight="13.8"/>
  <cols>
    <col min="1" max="1" width="4" style="150" customWidth="1"/>
    <col min="2" max="2" width="1.54296875" style="150" customWidth="1"/>
    <col min="3" max="3" width="1.81640625" style="150" customWidth="1"/>
    <col min="4" max="4" width="7.54296875" style="150" customWidth="1"/>
    <col min="5" max="5" width="27.453125" style="150" customWidth="1"/>
    <col min="6" max="6" width="1.453125" style="150" customWidth="1"/>
    <col min="7" max="7" width="12" style="150" customWidth="1"/>
    <col min="8" max="8" width="2.81640625" style="150" customWidth="1"/>
    <col min="9" max="9" width="10" style="150" customWidth="1"/>
    <col min="10" max="10" width="3" style="150" customWidth="1"/>
    <col min="11" max="11" width="2.81640625" style="150" customWidth="1"/>
    <col min="12" max="12" width="10" style="150" customWidth="1"/>
    <col min="13" max="13" width="3.81640625" style="150" customWidth="1"/>
    <col min="14" max="14" width="6.453125" style="150" customWidth="1"/>
    <col min="15" max="20" width="8.81640625" style="150" customWidth="1"/>
    <col min="21" max="16384" width="8.81640625" style="150"/>
  </cols>
  <sheetData>
    <row r="1" spans="1:17" ht="15" customHeight="1">
      <c r="A1" s="1121" t="s">
        <v>140</v>
      </c>
      <c r="B1" s="1308"/>
      <c r="C1" s="96"/>
      <c r="E1" s="1785" t="str">
        <f>DistrictName</f>
        <v>Mary C O'Brien Accommodation District</v>
      </c>
      <c r="F1" s="1785"/>
      <c r="G1" s="1785"/>
      <c r="H1" s="1308"/>
      <c r="I1" s="1606" t="s">
        <v>202</v>
      </c>
      <c r="J1" s="1786"/>
      <c r="K1" s="1786"/>
      <c r="L1" s="98" t="str">
        <f>Cover!S1</f>
        <v>110100000</v>
      </c>
      <c r="M1" s="96"/>
      <c r="O1" s="138"/>
    </row>
    <row r="2" spans="1:17" ht="14.25" customHeight="1">
      <c r="A2" s="1590" t="s">
        <v>682</v>
      </c>
      <c r="B2" s="1590"/>
      <c r="C2" s="1590"/>
      <c r="D2" s="1590"/>
      <c r="E2" s="1"/>
      <c r="F2" s="1"/>
      <c r="G2" s="1"/>
      <c r="H2" s="1"/>
      <c r="I2" s="1263"/>
      <c r="J2" s="4"/>
      <c r="K2" s="1262" t="s">
        <v>16</v>
      </c>
      <c r="L2" s="735" t="str">
        <f>Cover!C8</f>
        <v>Proposed</v>
      </c>
      <c r="M2" s="96"/>
      <c r="N2" s="148"/>
      <c r="O2" s="138"/>
    </row>
    <row r="3" spans="1:17">
      <c r="B3" s="103"/>
      <c r="C3" s="103"/>
      <c r="D3" s="103"/>
      <c r="E3" s="1477" t="s">
        <v>1305</v>
      </c>
      <c r="F3" s="103"/>
      <c r="G3" s="103"/>
      <c r="H3" s="103"/>
      <c r="I3" s="103"/>
      <c r="J3" s="103"/>
      <c r="K3" s="103"/>
      <c r="L3" s="103"/>
      <c r="M3" s="103"/>
      <c r="N3" s="151"/>
    </row>
    <row r="4" spans="1:17" ht="8.25" customHeight="1">
      <c r="A4" s="736"/>
      <c r="B4" s="103"/>
      <c r="C4" s="103"/>
      <c r="D4" s="103"/>
      <c r="E4" s="103"/>
      <c r="F4" s="103"/>
      <c r="G4" s="103"/>
      <c r="H4" s="103"/>
      <c r="I4" s="103"/>
      <c r="J4" s="103"/>
      <c r="K4" s="103"/>
      <c r="L4" s="103"/>
      <c r="M4" s="103"/>
      <c r="N4" s="151"/>
    </row>
    <row r="5" spans="1:17" ht="13.5" customHeight="1">
      <c r="A5" s="180" t="s">
        <v>6</v>
      </c>
      <c r="B5" s="103"/>
      <c r="C5" s="1582" t="s">
        <v>1306</v>
      </c>
      <c r="D5" s="1582"/>
      <c r="E5" s="1582"/>
      <c r="F5" s="1582"/>
      <c r="G5" s="1582"/>
      <c r="H5" s="1263" t="s">
        <v>273</v>
      </c>
      <c r="I5" s="490">
        <f t="array" ref="I5">[1]!AdjTNTBaseLimit+[1]!ExcessTNTLimit</f>
        <v>4097085</v>
      </c>
      <c r="J5" s="103"/>
      <c r="K5" s="103"/>
      <c r="L5" s="103"/>
      <c r="M5" s="103"/>
      <c r="N5" s="151"/>
    </row>
    <row r="6" spans="1:17" ht="12" customHeight="1">
      <c r="A6" s="180" t="s">
        <v>8</v>
      </c>
      <c r="B6" s="103"/>
      <c r="C6" s="96" t="s">
        <v>371</v>
      </c>
      <c r="D6" s="96"/>
      <c r="E6" s="96"/>
      <c r="F6" s="1795" t="str">
        <f>IF(SUM(I11:I14)=0,IF(I7&gt;0,"No budget on lines 4 -7 below. Click here for Instructions",""),"")</f>
        <v/>
      </c>
      <c r="G6" s="1795"/>
      <c r="H6" s="1263"/>
      <c r="I6" s="18"/>
      <c r="J6" s="103"/>
      <c r="K6" s="103"/>
      <c r="L6" s="103"/>
      <c r="M6" s="103"/>
      <c r="N6" s="151"/>
    </row>
    <row r="7" spans="1:17" ht="14.25" customHeight="1" thickBot="1">
      <c r="A7" s="175" t="s">
        <v>22</v>
      </c>
      <c r="B7" s="103"/>
      <c r="C7" s="96" t="s">
        <v>1307</v>
      </c>
      <c r="D7" s="96"/>
      <c r="E7" s="96"/>
      <c r="F7" s="1795"/>
      <c r="G7" s="1795"/>
      <c r="H7" s="1263" t="s">
        <v>273</v>
      </c>
      <c r="I7" s="737">
        <f>I5-I6</f>
        <v>4097085</v>
      </c>
      <c r="J7" s="103"/>
      <c r="K7" s="103"/>
      <c r="L7" s="103"/>
      <c r="M7" s="103"/>
      <c r="N7" s="151"/>
      <c r="Q7" s="1476"/>
    </row>
    <row r="8" spans="1:17" ht="13.5" customHeight="1" thickTop="1">
      <c r="A8" s="175"/>
      <c r="B8" s="96"/>
      <c r="C8" s="496"/>
      <c r="D8" s="496"/>
      <c r="E8" s="496"/>
      <c r="F8" s="1795"/>
      <c r="G8" s="1795"/>
      <c r="H8" s="1263"/>
      <c r="I8" s="1274"/>
      <c r="J8" s="96"/>
      <c r="K8" s="1790" t="s">
        <v>372</v>
      </c>
      <c r="L8" s="1790"/>
      <c r="M8" s="1790"/>
      <c r="N8" s="738"/>
    </row>
    <row r="9" spans="1:17" ht="13.5" customHeight="1">
      <c r="A9" s="116" t="s">
        <v>1308</v>
      </c>
      <c r="B9" s="96"/>
      <c r="D9" s="116"/>
      <c r="E9" s="96"/>
      <c r="F9" s="96"/>
      <c r="G9" s="96"/>
      <c r="H9" s="96"/>
      <c r="I9" s="1274"/>
      <c r="J9" s="736"/>
      <c r="K9" s="1790"/>
      <c r="L9" s="1790"/>
      <c r="M9" s="1790"/>
      <c r="N9" s="738"/>
    </row>
    <row r="10" spans="1:17" ht="7.5" customHeight="1">
      <c r="A10" s="1263"/>
      <c r="B10" s="96"/>
      <c r="C10" s="96"/>
      <c r="D10" s="96"/>
      <c r="E10" s="96"/>
      <c r="F10" s="96"/>
      <c r="G10" s="96"/>
      <c r="H10" s="96"/>
      <c r="I10" s="1274"/>
      <c r="J10" s="736"/>
      <c r="K10" s="1790"/>
      <c r="L10" s="1790"/>
      <c r="M10" s="1790"/>
      <c r="N10" s="738"/>
    </row>
    <row r="11" spans="1:17" ht="13.5" customHeight="1">
      <c r="A11" s="739" t="s">
        <v>40</v>
      </c>
      <c r="B11" s="96"/>
      <c r="C11" s="1791" t="s">
        <v>373</v>
      </c>
      <c r="D11" s="1791"/>
      <c r="E11" s="1791"/>
      <c r="F11" s="1291"/>
      <c r="G11" s="1291"/>
      <c r="H11" s="1263" t="s">
        <v>273</v>
      </c>
      <c r="I11" s="490">
        <v>0</v>
      </c>
      <c r="J11" s="96"/>
      <c r="K11" s="1263"/>
      <c r="L11" s="740" t="str">
        <f>IF(ISERROR(I11/$I$35),"",I11/$I$35)</f>
        <v/>
      </c>
      <c r="M11" s="96"/>
      <c r="N11" s="151"/>
    </row>
    <row r="12" spans="1:17" ht="13.5" customHeight="1">
      <c r="A12" s="328" t="s">
        <v>98</v>
      </c>
      <c r="B12" s="96"/>
      <c r="C12" s="96" t="s">
        <v>374</v>
      </c>
      <c r="D12" s="96"/>
      <c r="E12" s="96"/>
      <c r="F12" s="96"/>
      <c r="G12" s="96"/>
      <c r="H12" s="1263"/>
      <c r="I12" s="338">
        <f>F001P530</f>
        <v>0</v>
      </c>
      <c r="J12" s="96"/>
      <c r="K12" s="1263"/>
      <c r="L12" s="740" t="str">
        <f>IF(ISERROR(I12/$I$35),"",I12/$I$35)</f>
        <v/>
      </c>
      <c r="M12" s="96"/>
      <c r="N12" s="151"/>
    </row>
    <row r="13" spans="1:17" ht="13.5" customHeight="1">
      <c r="A13" s="328" t="s">
        <v>99</v>
      </c>
      <c r="B13" s="96"/>
      <c r="C13" s="1792" t="s">
        <v>1025</v>
      </c>
      <c r="D13" s="1792"/>
      <c r="E13" s="1792"/>
      <c r="F13" s="1792"/>
      <c r="G13" s="1792"/>
      <c r="H13" s="1263"/>
      <c r="I13" s="490">
        <v>0</v>
      </c>
      <c r="J13" s="96"/>
      <c r="K13" s="1263"/>
      <c r="L13" s="740" t="str">
        <f>IF(ISERROR(I13/$I$35),"",I13/$I$35)</f>
        <v/>
      </c>
      <c r="M13" s="96"/>
      <c r="N13" s="151"/>
    </row>
    <row r="14" spans="1:17" ht="13.5" customHeight="1">
      <c r="A14" s="328" t="s">
        <v>100</v>
      </c>
      <c r="B14" s="96"/>
      <c r="C14" s="96" t="s">
        <v>375</v>
      </c>
      <c r="D14" s="96"/>
      <c r="E14" s="96"/>
      <c r="F14" s="96"/>
      <c r="G14" s="96"/>
      <c r="H14" s="1263" t="s">
        <v>273</v>
      </c>
      <c r="I14" s="490">
        <f>SSA_MO+SSA_UCO</f>
        <v>4721429</v>
      </c>
      <c r="J14" s="96"/>
      <c r="K14" s="1263"/>
      <c r="L14" s="740" t="str">
        <f>IF(ISERROR(I14/$I$35),"",I14/$I$35)</f>
        <v/>
      </c>
      <c r="M14" s="96"/>
      <c r="N14" s="151"/>
    </row>
    <row r="15" spans="1:17" ht="15.75" customHeight="1">
      <c r="A15" s="116" t="s">
        <v>1309</v>
      </c>
      <c r="B15" s="96"/>
      <c r="D15" s="96"/>
      <c r="E15" s="96"/>
      <c r="F15" s="96"/>
      <c r="G15" s="96"/>
      <c r="H15" s="1263"/>
      <c r="I15" s="492"/>
      <c r="J15" s="96"/>
      <c r="K15" s="1263"/>
      <c r="L15" s="108"/>
      <c r="M15" s="96"/>
      <c r="N15" s="151"/>
    </row>
    <row r="16" spans="1:17" ht="24" customHeight="1">
      <c r="A16" s="739" t="s">
        <v>102</v>
      </c>
      <c r="B16" s="96"/>
      <c r="C16" s="1793" t="s">
        <v>1026</v>
      </c>
      <c r="D16" s="1793"/>
      <c r="E16" s="1793"/>
      <c r="F16" s="1793"/>
      <c r="G16" s="1793"/>
      <c r="H16" s="1263"/>
      <c r="I16" s="1265"/>
      <c r="J16" s="96"/>
      <c r="K16" s="1263"/>
      <c r="L16" s="108"/>
      <c r="M16" s="96"/>
      <c r="N16" s="151"/>
    </row>
    <row r="17" spans="1:14" ht="13.5" customHeight="1">
      <c r="A17" s="739"/>
      <c r="B17" s="96"/>
      <c r="C17" s="742" t="s">
        <v>376</v>
      </c>
      <c r="D17" s="119" t="s">
        <v>1310</v>
      </c>
      <c r="E17" s="1306"/>
      <c r="F17" s="1306" t="s">
        <v>273</v>
      </c>
      <c r="G17" s="31"/>
      <c r="H17" s="1263"/>
      <c r="I17" s="1265"/>
      <c r="J17" s="96"/>
      <c r="K17" s="1263"/>
    </row>
    <row r="18" spans="1:14" ht="25.5" customHeight="1">
      <c r="A18" s="739"/>
      <c r="B18" s="96"/>
      <c r="C18" s="119" t="s">
        <v>377</v>
      </c>
      <c r="D18" s="1627" t="s">
        <v>1311</v>
      </c>
      <c r="E18" s="1627"/>
      <c r="F18" s="1268"/>
      <c r="G18" s="490">
        <f>SUM('[1]Truth in Tax'!$I$11:$I$13)</f>
        <v>0</v>
      </c>
      <c r="H18" s="1263"/>
      <c r="I18" s="1265"/>
      <c r="J18" s="96"/>
      <c r="K18" s="1263"/>
      <c r="L18" s="108"/>
      <c r="M18" s="96"/>
      <c r="N18" s="151"/>
    </row>
    <row r="19" spans="1:14" ht="13.5" customHeight="1">
      <c r="A19" s="328"/>
      <c r="B19" s="96"/>
      <c r="C19" s="119" t="s">
        <v>378</v>
      </c>
      <c r="D19" s="1794" t="s">
        <v>379</v>
      </c>
      <c r="E19" s="1794"/>
      <c r="F19" s="1794"/>
      <c r="G19" s="1794"/>
      <c r="H19" s="1263" t="s">
        <v>273</v>
      </c>
      <c r="I19" s="490">
        <f>IF(G17&lt;&gt;0,G17-G18,0)</f>
        <v>0</v>
      </c>
      <c r="J19" s="96"/>
      <c r="K19" s="1263"/>
    </row>
    <row r="20" spans="1:14" ht="13.5" customHeight="1">
      <c r="A20" s="328" t="s">
        <v>103</v>
      </c>
      <c r="B20" s="96"/>
      <c r="C20" s="96" t="s">
        <v>380</v>
      </c>
      <c r="D20" s="1"/>
      <c r="E20" s="1"/>
      <c r="F20" s="1"/>
      <c r="G20" s="1"/>
      <c r="H20" s="1263"/>
      <c r="I20" s="492"/>
      <c r="J20" s="96"/>
      <c r="K20" s="1263"/>
    </row>
    <row r="21" spans="1:14" ht="13.5" customHeight="1">
      <c r="A21" s="328"/>
      <c r="B21" s="96"/>
      <c r="C21" s="96" t="s">
        <v>376</v>
      </c>
      <c r="D21" s="96" t="s">
        <v>1312</v>
      </c>
      <c r="E21" s="1263"/>
      <c r="F21" s="1263" t="s">
        <v>273</v>
      </c>
      <c r="G21" s="31"/>
      <c r="H21" s="1263"/>
      <c r="I21" s="1265"/>
      <c r="J21" s="96"/>
      <c r="K21" s="1263"/>
      <c r="L21" s="96"/>
      <c r="M21" s="96"/>
      <c r="N21" s="151"/>
    </row>
    <row r="22" spans="1:14" ht="24" customHeight="1">
      <c r="A22" s="739"/>
      <c r="B22" s="96"/>
      <c r="C22" s="119" t="s">
        <v>377</v>
      </c>
      <c r="D22" s="1793" t="s">
        <v>1313</v>
      </c>
      <c r="E22" s="1793"/>
      <c r="F22" s="1301" t="s">
        <v>273</v>
      </c>
      <c r="G22" s="490">
        <f>'[1]Truth in Tax'!$I$14</f>
        <v>4097085</v>
      </c>
      <c r="H22" s="1263"/>
      <c r="I22" s="1265"/>
      <c r="J22" s="96"/>
      <c r="K22" s="1263"/>
      <c r="L22" s="96"/>
      <c r="M22" s="96"/>
      <c r="N22" s="151"/>
    </row>
    <row r="23" spans="1:14" ht="25.5" customHeight="1">
      <c r="A23" s="328"/>
      <c r="B23" s="96"/>
      <c r="C23" s="119" t="s">
        <v>378</v>
      </c>
      <c r="D23" s="1793" t="s">
        <v>381</v>
      </c>
      <c r="E23" s="1793"/>
      <c r="F23" s="1301"/>
      <c r="G23" s="96"/>
      <c r="H23" s="1263" t="s">
        <v>273</v>
      </c>
      <c r="I23" s="490">
        <f>IF(G21&lt;&gt;0,G21-G22,0)</f>
        <v>0</v>
      </c>
      <c r="J23" s="96"/>
      <c r="K23" s="1263"/>
      <c r="L23" s="96"/>
      <c r="M23" s="96"/>
      <c r="N23" s="151"/>
    </row>
    <row r="24" spans="1:14" ht="13.5" customHeight="1" thickBot="1">
      <c r="A24" s="328" t="s">
        <v>104</v>
      </c>
      <c r="B24" s="96"/>
      <c r="C24" s="96" t="s">
        <v>382</v>
      </c>
      <c r="D24" s="96"/>
      <c r="E24" s="96"/>
      <c r="F24" s="96"/>
      <c r="G24" s="96"/>
      <c r="H24" s="1263" t="s">
        <v>273</v>
      </c>
      <c r="I24" s="1117">
        <f>SUM(I11:I14)+I19+I23</f>
        <v>4721429</v>
      </c>
      <c r="J24" s="96"/>
      <c r="K24" s="96"/>
      <c r="L24" s="744"/>
      <c r="M24" s="96"/>
      <c r="N24" s="151"/>
    </row>
    <row r="25" spans="1:14" ht="13.5" customHeight="1" thickTop="1">
      <c r="A25" s="328" t="s">
        <v>105</v>
      </c>
      <c r="B25" s="96"/>
      <c r="C25" s="96" t="s">
        <v>1027</v>
      </c>
      <c r="D25" s="96"/>
      <c r="E25" s="96"/>
      <c r="F25" s="96"/>
      <c r="G25" s="96"/>
      <c r="H25" s="96"/>
      <c r="I25" s="1116"/>
      <c r="J25" s="96"/>
      <c r="K25" s="96"/>
      <c r="L25" s="744"/>
      <c r="M25" s="96"/>
      <c r="N25" s="151"/>
    </row>
    <row r="26" spans="1:14" ht="13.5" customHeight="1" thickBot="1">
      <c r="A26" s="175"/>
      <c r="B26" s="96"/>
      <c r="C26" s="96" t="s">
        <v>383</v>
      </c>
      <c r="D26" s="96"/>
      <c r="E26" s="96"/>
      <c r="F26" s="96"/>
      <c r="G26" s="96"/>
      <c r="H26" s="1263" t="s">
        <v>273</v>
      </c>
      <c r="I26" s="1210">
        <f>IF(I24-I7&gt;0,I24-I7,0)</f>
        <v>624344</v>
      </c>
      <c r="J26" s="96"/>
      <c r="K26" s="96"/>
      <c r="L26" s="744"/>
      <c r="M26" s="96"/>
      <c r="N26" s="151"/>
    </row>
    <row r="27" spans="1:14" ht="7.5" customHeight="1" thickTop="1">
      <c r="A27" s="175"/>
      <c r="B27" s="96"/>
      <c r="C27" s="96"/>
      <c r="D27" s="96"/>
      <c r="E27" s="96"/>
      <c r="F27" s="96"/>
      <c r="G27" s="96"/>
      <c r="H27" s="96"/>
      <c r="I27" s="1274"/>
      <c r="J27" s="96"/>
      <c r="K27" s="96"/>
      <c r="L27" s="744"/>
      <c r="M27" s="96"/>
      <c r="N27" s="151"/>
    </row>
    <row r="28" spans="1:14" ht="13.5" customHeight="1">
      <c r="A28" s="417" t="s">
        <v>106</v>
      </c>
      <c r="B28" s="96"/>
      <c r="C28" s="96" t="s">
        <v>1314</v>
      </c>
      <c r="D28" s="96"/>
      <c r="E28" s="96"/>
      <c r="F28" s="96"/>
      <c r="G28" s="96"/>
      <c r="H28" s="96"/>
      <c r="I28" s="1274"/>
      <c r="J28" s="96"/>
      <c r="K28" s="96"/>
      <c r="L28" s="744"/>
      <c r="M28" s="96"/>
      <c r="N28" s="151"/>
    </row>
    <row r="29" spans="1:14" ht="12" customHeight="1">
      <c r="A29" s="1263"/>
      <c r="B29" s="96"/>
      <c r="C29" s="96" t="s">
        <v>384</v>
      </c>
      <c r="D29" s="96"/>
      <c r="E29" s="96"/>
      <c r="F29" s="96"/>
      <c r="G29" s="96"/>
      <c r="H29" s="1263" t="s">
        <v>273</v>
      </c>
      <c r="I29" s="743">
        <f>AdjWaysLevy</f>
        <v>0</v>
      </c>
      <c r="J29" s="96"/>
      <c r="K29" s="1263"/>
      <c r="L29" s="740" t="str">
        <f>IF(ISERROR(I29/$I$35),"",I29/$I$35)</f>
        <v/>
      </c>
      <c r="M29" s="96"/>
      <c r="N29" s="151"/>
    </row>
    <row r="30" spans="1:14" ht="13.5" customHeight="1">
      <c r="A30" s="328" t="s">
        <v>107</v>
      </c>
      <c r="B30" s="96"/>
      <c r="C30" s="96" t="s">
        <v>1315</v>
      </c>
      <c r="D30" s="96"/>
      <c r="E30" s="96"/>
      <c r="F30" s="96"/>
      <c r="G30" s="96"/>
      <c r="H30" s="96"/>
      <c r="I30" s="1265"/>
      <c r="J30" s="96"/>
      <c r="K30" s="96"/>
      <c r="L30" s="108"/>
      <c r="M30" s="96"/>
      <c r="N30" s="151"/>
    </row>
    <row r="31" spans="1:14" ht="12" customHeight="1">
      <c r="A31" s="96"/>
      <c r="B31" s="96"/>
      <c r="C31" s="96" t="s">
        <v>1028</v>
      </c>
      <c r="D31" s="96"/>
      <c r="E31" s="96"/>
      <c r="F31" s="96"/>
      <c r="G31" s="96"/>
      <c r="H31" s="1263" t="s">
        <v>273</v>
      </c>
      <c r="I31" s="31"/>
      <c r="J31" s="96"/>
      <c r="K31" s="1263"/>
      <c r="L31" s="740" t="str">
        <f>IF(ISERROR(I31/$I$35),"",I31/$I$35)</f>
        <v/>
      </c>
      <c r="M31" s="96"/>
      <c r="N31" s="151"/>
    </row>
    <row r="32" spans="1:14" ht="5.25" customHeight="1">
      <c r="A32" s="96"/>
      <c r="B32" s="96"/>
      <c r="C32" s="96"/>
      <c r="D32" s="96"/>
      <c r="E32" s="96"/>
      <c r="F32" s="96"/>
      <c r="G32" s="96"/>
      <c r="H32" s="96"/>
      <c r="I32" s="96"/>
      <c r="J32" s="96"/>
      <c r="K32" s="96"/>
      <c r="L32" s="96"/>
      <c r="M32" s="96"/>
      <c r="N32" s="151"/>
    </row>
    <row r="33" spans="1:16" ht="13.5" customHeight="1">
      <c r="A33" s="116" t="s">
        <v>1124</v>
      </c>
      <c r="B33" s="96"/>
      <c r="C33" s="96"/>
      <c r="D33" s="96"/>
      <c r="E33" s="96"/>
      <c r="F33" s="96"/>
      <c r="G33" s="96"/>
      <c r="H33" s="96"/>
      <c r="I33" s="96"/>
      <c r="J33" s="96"/>
      <c r="K33" s="96"/>
      <c r="L33" s="96"/>
      <c r="M33" s="96"/>
      <c r="N33" s="151"/>
    </row>
    <row r="34" spans="1:16" ht="13.5" customHeight="1">
      <c r="A34" s="1263" t="s">
        <v>385</v>
      </c>
      <c r="C34" s="96" t="s">
        <v>386</v>
      </c>
      <c r="D34" s="1279"/>
      <c r="E34" s="96"/>
      <c r="F34" s="96"/>
      <c r="G34" s="96"/>
      <c r="H34" s="1263" t="s">
        <v>273</v>
      </c>
      <c r="I34" s="490">
        <f>I26+I29+I31</f>
        <v>624344</v>
      </c>
      <c r="J34" s="745"/>
      <c r="K34" s="96"/>
      <c r="L34" s="96"/>
      <c r="M34" s="96"/>
      <c r="N34" s="151"/>
    </row>
    <row r="35" spans="1:16" ht="13.5" customHeight="1">
      <c r="A35" s="1263" t="s">
        <v>387</v>
      </c>
      <c r="C35" s="96" t="s">
        <v>388</v>
      </c>
      <c r="D35" s="1279"/>
      <c r="E35" s="96"/>
      <c r="F35" s="96"/>
      <c r="G35" s="96"/>
      <c r="H35" s="1263" t="s">
        <v>273</v>
      </c>
      <c r="I35" s="20"/>
      <c r="J35" s="324"/>
      <c r="K35" s="96"/>
      <c r="L35" s="96"/>
      <c r="M35" s="96"/>
      <c r="N35" s="151"/>
    </row>
    <row r="36" spans="1:16" ht="13.5" customHeight="1">
      <c r="A36" s="1263" t="s">
        <v>389</v>
      </c>
      <c r="C36" s="96" t="s">
        <v>390</v>
      </c>
      <c r="D36" s="1279"/>
      <c r="E36" s="96"/>
      <c r="F36" s="96"/>
      <c r="G36" s="96"/>
      <c r="H36" s="1263" t="s">
        <v>273</v>
      </c>
      <c r="I36" s="746" t="str">
        <f>IF(I35&gt;0,ROUND((I7/I35)*10000,4)," ")</f>
        <v xml:space="preserve"> </v>
      </c>
      <c r="J36" s="745" t="s">
        <v>263</v>
      </c>
      <c r="K36" s="96"/>
      <c r="L36" s="96"/>
      <c r="M36" s="96"/>
      <c r="N36" s="151"/>
    </row>
    <row r="37" spans="1:16" ht="13.5" customHeight="1">
      <c r="A37" s="1263" t="s">
        <v>391</v>
      </c>
      <c r="C37" s="96" t="s">
        <v>392</v>
      </c>
      <c r="D37" s="1279"/>
      <c r="E37" s="96"/>
      <c r="F37" s="96"/>
      <c r="G37" s="96"/>
      <c r="H37" s="1263" t="s">
        <v>273</v>
      </c>
      <c r="I37" s="338">
        <f>I7+I26+I29+I31</f>
        <v>4721429</v>
      </c>
      <c r="J37" s="324"/>
      <c r="K37" s="96"/>
      <c r="L37" s="96"/>
      <c r="M37" s="96"/>
      <c r="N37" s="138"/>
      <c r="O37" s="138"/>
      <c r="P37" s="138"/>
    </row>
    <row r="38" spans="1:16" ht="13.5" customHeight="1">
      <c r="A38" s="1263" t="s">
        <v>393</v>
      </c>
      <c r="C38" s="96" t="s">
        <v>394</v>
      </c>
      <c r="D38" s="1279"/>
      <c r="E38" s="96"/>
      <c r="F38" s="96"/>
      <c r="G38" s="96"/>
      <c r="H38" s="1263" t="s">
        <v>273</v>
      </c>
      <c r="I38" s="746" t="str">
        <f>IF(I35&gt;0,ROUND((I37/I35)*10000,4)," ")</f>
        <v xml:space="preserve"> </v>
      </c>
      <c r="J38" s="745" t="s">
        <v>263</v>
      </c>
      <c r="K38" s="96"/>
      <c r="L38" s="96"/>
      <c r="M38" s="96"/>
      <c r="N38" s="138"/>
      <c r="O38" s="138"/>
      <c r="P38" s="138"/>
    </row>
    <row r="39" spans="1:16" ht="5.25" customHeight="1">
      <c r="A39" s="96"/>
      <c r="B39" s="96"/>
      <c r="C39" s="96"/>
      <c r="D39" s="96"/>
      <c r="E39" s="96"/>
      <c r="F39" s="96"/>
      <c r="G39" s="96"/>
      <c r="H39" s="96"/>
      <c r="I39" s="96"/>
      <c r="J39" s="96"/>
      <c r="K39" s="96"/>
      <c r="L39" s="96"/>
      <c r="M39" s="96"/>
      <c r="N39" s="151"/>
    </row>
    <row r="40" spans="1:16" ht="5.25" customHeight="1">
      <c r="A40" s="96"/>
      <c r="B40" s="96"/>
      <c r="C40" s="96"/>
      <c r="D40" s="96"/>
      <c r="E40" s="96"/>
      <c r="F40" s="96"/>
      <c r="G40" s="96"/>
      <c r="H40" s="96"/>
      <c r="I40" s="96"/>
      <c r="J40" s="96"/>
      <c r="K40" s="96"/>
      <c r="L40" s="96"/>
      <c r="M40" s="96"/>
      <c r="N40" s="151"/>
    </row>
    <row r="41" spans="1:16" ht="15" customHeight="1">
      <c r="A41" s="747" t="s">
        <v>261</v>
      </c>
      <c r="B41" s="119"/>
      <c r="C41" s="1787" t="s">
        <v>1029</v>
      </c>
      <c r="D41" s="1787"/>
      <c r="E41" s="1787"/>
      <c r="F41" s="1787"/>
      <c r="G41" s="1787"/>
      <c r="H41" s="1787"/>
      <c r="I41" s="1787"/>
      <c r="J41" s="1787"/>
      <c r="K41" s="1787"/>
      <c r="L41" s="1787"/>
      <c r="M41" s="1789"/>
      <c r="N41"/>
    </row>
    <row r="42" spans="1:16" ht="9" customHeight="1">
      <c r="A42" s="96"/>
      <c r="B42" s="96"/>
      <c r="C42" s="1787"/>
      <c r="D42" s="1787"/>
      <c r="E42" s="1787"/>
      <c r="F42" s="1787"/>
      <c r="G42" s="1787"/>
      <c r="H42" s="1787"/>
      <c r="I42" s="1787"/>
      <c r="J42" s="1787"/>
      <c r="K42" s="1787"/>
      <c r="L42" s="1787"/>
      <c r="M42" s="1789"/>
      <c r="N42"/>
    </row>
    <row r="43" spans="1:16" ht="5.25" customHeight="1">
      <c r="A43" s="96"/>
      <c r="B43" s="96"/>
      <c r="C43" s="96"/>
      <c r="D43" s="96"/>
      <c r="E43" s="96"/>
      <c r="F43" s="96"/>
      <c r="G43" s="96"/>
      <c r="H43" s="96"/>
      <c r="I43" s="96"/>
      <c r="J43" s="96"/>
      <c r="K43" s="96"/>
      <c r="L43" s="96"/>
      <c r="M43" s="96"/>
    </row>
    <row r="44" spans="1:16" ht="14.25" customHeight="1">
      <c r="A44" s="747" t="s">
        <v>263</v>
      </c>
      <c r="B44" s="119"/>
      <c r="C44" s="1787" t="s">
        <v>1125</v>
      </c>
      <c r="D44" s="1788"/>
      <c r="E44" s="1788"/>
      <c r="F44" s="1788"/>
      <c r="G44" s="1788"/>
      <c r="H44" s="1788"/>
      <c r="I44" s="1788"/>
      <c r="J44" s="1788"/>
      <c r="K44" s="1788"/>
      <c r="L44" s="1788"/>
      <c r="M44" s="1788"/>
    </row>
    <row r="45" spans="1:16" ht="9.75" customHeight="1">
      <c r="A45" s="96"/>
      <c r="B45" s="96"/>
      <c r="C45" s="1788"/>
      <c r="D45" s="1788"/>
      <c r="E45" s="1788"/>
      <c r="F45" s="1788"/>
      <c r="G45" s="1788"/>
      <c r="H45" s="1788"/>
      <c r="I45" s="1788"/>
      <c r="J45" s="1788"/>
      <c r="K45" s="1788"/>
      <c r="L45" s="1788"/>
      <c r="M45" s="1788"/>
    </row>
    <row r="46" spans="1:16" ht="5.25" customHeight="1">
      <c r="A46" s="96"/>
      <c r="B46" s="96"/>
      <c r="C46" s="96"/>
      <c r="D46" s="96"/>
      <c r="E46" s="96"/>
      <c r="F46" s="96"/>
      <c r="G46" s="96"/>
      <c r="H46" s="96"/>
      <c r="I46" s="96"/>
      <c r="J46" s="96"/>
      <c r="K46" s="96"/>
      <c r="L46" s="96"/>
      <c r="M46" s="96"/>
      <c r="N46" s="151"/>
    </row>
    <row r="47" spans="1:16" ht="15" customHeight="1">
      <c r="A47" s="747"/>
      <c r="B47" s="119"/>
      <c r="C47" s="1787"/>
      <c r="D47" s="1787"/>
      <c r="E47" s="1787"/>
      <c r="F47" s="1787"/>
      <c r="G47" s="1787"/>
      <c r="H47" s="1787"/>
      <c r="I47" s="1787"/>
      <c r="J47" s="1787"/>
      <c r="K47" s="1787"/>
      <c r="L47" s="1787"/>
      <c r="M47" s="1789"/>
      <c r="N47"/>
    </row>
    <row r="48" spans="1:16" ht="9" customHeight="1">
      <c r="A48" s="96"/>
      <c r="B48" s="96"/>
      <c r="C48" s="1787"/>
      <c r="D48" s="1787"/>
      <c r="E48" s="1787"/>
      <c r="F48" s="1787"/>
      <c r="G48" s="1787"/>
      <c r="H48" s="1787"/>
      <c r="I48" s="1787"/>
      <c r="J48" s="1787"/>
      <c r="K48" s="1787"/>
      <c r="L48" s="1787"/>
      <c r="M48" s="1789"/>
      <c r="N48"/>
    </row>
    <row r="49" spans="1:13" ht="5.25" customHeight="1">
      <c r="A49" s="96"/>
      <c r="B49" s="96"/>
      <c r="C49" s="96"/>
      <c r="D49" s="96"/>
      <c r="E49" s="96"/>
      <c r="F49" s="96"/>
      <c r="G49" s="96"/>
      <c r="H49" s="96"/>
      <c r="I49" s="96"/>
      <c r="J49" s="96"/>
      <c r="K49" s="96"/>
      <c r="L49" s="96"/>
      <c r="M49" s="96"/>
    </row>
    <row r="50" spans="1:13" ht="14.25" customHeight="1">
      <c r="A50" s="747"/>
      <c r="B50" s="119"/>
      <c r="C50" s="1787"/>
      <c r="D50" s="1788"/>
      <c r="E50" s="1788"/>
      <c r="F50" s="1788"/>
      <c r="G50" s="1788"/>
      <c r="H50" s="1788"/>
      <c r="I50" s="1788"/>
      <c r="J50" s="1788"/>
      <c r="K50" s="1788"/>
      <c r="L50" s="1788"/>
      <c r="M50" s="1788"/>
    </row>
    <row r="51" spans="1:13" ht="9.75" customHeight="1">
      <c r="A51" s="96"/>
      <c r="B51" s="96"/>
      <c r="C51" s="1788"/>
      <c r="D51" s="1788"/>
      <c r="E51" s="1788"/>
      <c r="F51" s="1788"/>
      <c r="G51" s="1788"/>
      <c r="H51" s="1788"/>
      <c r="I51" s="1788"/>
      <c r="J51" s="1788"/>
      <c r="K51" s="1788"/>
      <c r="L51" s="1788"/>
      <c r="M51" s="1788"/>
    </row>
    <row r="52" spans="1:13">
      <c r="A52" s="138"/>
      <c r="B52" s="138"/>
      <c r="C52" s="138"/>
      <c r="D52" s="138"/>
      <c r="E52" s="138"/>
      <c r="F52" s="138"/>
      <c r="G52" s="138"/>
      <c r="H52" s="138"/>
      <c r="I52" s="138"/>
      <c r="J52" s="138"/>
      <c r="K52" s="138"/>
      <c r="L52" s="138"/>
      <c r="M52" s="138"/>
    </row>
    <row r="53" spans="1:13">
      <c r="A53" s="138"/>
      <c r="B53" s="138"/>
      <c r="C53" s="138"/>
      <c r="D53" s="138"/>
      <c r="E53" s="138"/>
      <c r="F53" s="138"/>
      <c r="G53" s="138"/>
      <c r="H53" s="138"/>
      <c r="I53" s="138"/>
      <c r="J53" s="138"/>
      <c r="K53" s="138"/>
      <c r="L53" s="138"/>
      <c r="M53" s="138"/>
    </row>
  </sheetData>
  <sheetProtection sheet="1" formatCells="0" formatColumns="0" formatRows="0"/>
  <mergeCells count="17">
    <mergeCell ref="F6:G8"/>
    <mergeCell ref="A2:D2"/>
    <mergeCell ref="E1:G1"/>
    <mergeCell ref="I1:K1"/>
    <mergeCell ref="C5:G5"/>
    <mergeCell ref="C50:M51"/>
    <mergeCell ref="C47:M48"/>
    <mergeCell ref="K8:M10"/>
    <mergeCell ref="C11:E11"/>
    <mergeCell ref="C13:G13"/>
    <mergeCell ref="C41:M42"/>
    <mergeCell ref="C44:M45"/>
    <mergeCell ref="C16:G16"/>
    <mergeCell ref="D18:E18"/>
    <mergeCell ref="D19:G19"/>
    <mergeCell ref="D22:E22"/>
    <mergeCell ref="D23:E23"/>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location="TruthinTaxl1" display="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7" orientation="portrait" r:id="rId4"/>
  <headerFooter alignWithMargins="0">
    <oddFooter>&amp;L&amp;"Times New Roman,Bold"&amp;9Rev. 5/26&amp;K000000 Arizona Department of Education and Auditor General&amp;C&amp;"Times New Roman,Regular"&amp;9&amp;D  &amp;T</oddFooter>
  </headerFooter>
  <customProperties>
    <customPr name="OrphanNamesChecked" r:id="rId5"/>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1"/>
  <sheetViews>
    <sheetView showGridLines="0" zoomScale="80" zoomScaleNormal="80" workbookViewId="0">
      <selection activeCell="J31" sqref="J31"/>
    </sheetView>
  </sheetViews>
  <sheetFormatPr defaultColWidth="9.1796875" defaultRowHeight="13.2"/>
  <cols>
    <col min="1" max="1" width="2.54296875" style="1223" customWidth="1"/>
    <col min="2" max="2" width="65" style="1223" customWidth="1"/>
    <col min="3" max="3" width="15" style="1223" customWidth="1"/>
    <col min="4" max="4" width="16.81640625" style="1223" customWidth="1"/>
    <col min="5" max="5" width="17.54296875" style="1223" customWidth="1"/>
    <col min="6" max="6" width="20" style="1223" customWidth="1"/>
    <col min="7" max="7" width="16.453125" style="1223" customWidth="1"/>
    <col min="8" max="8" width="13" style="1223" customWidth="1"/>
    <col min="9" max="9" width="12" style="1223" customWidth="1"/>
    <col min="10" max="10" width="13.81640625" style="1223" customWidth="1"/>
    <col min="11" max="11" width="14" style="1223" customWidth="1"/>
    <col min="12" max="12" width="18.81640625" style="1223" customWidth="1"/>
    <col min="13" max="13" width="13.453125" style="1223" customWidth="1"/>
    <col min="14" max="14" width="13" style="1223" customWidth="1"/>
    <col min="15" max="15" width="11.1796875" style="1223" customWidth="1"/>
    <col min="16" max="16" width="10.81640625" style="1223" customWidth="1"/>
    <col min="17" max="17" width="11.54296875" style="1223" customWidth="1"/>
    <col min="18" max="20" width="9.1796875" style="1223" customWidth="1"/>
    <col min="21" max="16384" width="9.1796875" style="1223"/>
  </cols>
  <sheetData>
    <row r="1" spans="1:62" s="1216" customFormat="1" ht="11.25" customHeight="1">
      <c r="B1" s="1217" t="s">
        <v>56</v>
      </c>
      <c r="C1" s="1812" t="str">
        <f>DistrictName</f>
        <v>Mary C O'Brien Accommodation District</v>
      </c>
      <c r="D1" s="1812"/>
      <c r="E1" s="1370" t="s">
        <v>57</v>
      </c>
      <c r="F1" s="1813" t="str">
        <f>Cover!S1</f>
        <v>110100000</v>
      </c>
      <c r="G1" s="1813"/>
      <c r="L1" s="1218"/>
      <c r="M1" s="1219"/>
      <c r="N1" s="1219"/>
      <c r="O1" s="1219"/>
      <c r="P1" s="1219"/>
      <c r="Q1" s="1219"/>
      <c r="R1" s="1219"/>
      <c r="S1" s="1219"/>
      <c r="T1" s="1219"/>
      <c r="U1" s="1219"/>
      <c r="V1" s="1219"/>
      <c r="W1" s="1219"/>
      <c r="X1" s="1219"/>
      <c r="Y1" s="1219"/>
      <c r="Z1" s="1219"/>
      <c r="AA1" s="1219"/>
      <c r="AB1" s="1219"/>
      <c r="AC1" s="1219"/>
      <c r="AD1" s="1219"/>
      <c r="AE1" s="1219"/>
      <c r="AF1" s="1219"/>
      <c r="AG1" s="1219"/>
      <c r="AH1" s="1219"/>
      <c r="AI1" s="1219"/>
      <c r="AJ1" s="1219"/>
      <c r="AK1" s="1219"/>
      <c r="AL1" s="1219"/>
      <c r="AM1" s="1219"/>
      <c r="AN1" s="1219"/>
      <c r="AO1" s="1219"/>
      <c r="AP1" s="1219"/>
      <c r="AQ1" s="1219"/>
      <c r="AR1" s="1219"/>
      <c r="AS1" s="1219"/>
      <c r="AT1" s="1219"/>
      <c r="AU1" s="1219"/>
      <c r="AV1" s="1219"/>
      <c r="AW1" s="1219"/>
      <c r="AX1" s="1219"/>
      <c r="AY1" s="1219"/>
      <c r="AZ1" s="1219"/>
      <c r="BA1" s="1219"/>
      <c r="BB1" s="1219"/>
      <c r="BC1" s="1219"/>
      <c r="BD1" s="1219"/>
      <c r="BE1" s="1219"/>
      <c r="BF1" s="1219"/>
      <c r="BG1" s="1219"/>
      <c r="BH1" s="1219"/>
      <c r="BI1" s="1219"/>
      <c r="BJ1" s="1219"/>
    </row>
    <row r="2" spans="1:62" s="1216" customFormat="1" ht="11.25" customHeight="1">
      <c r="C2" s="1220"/>
      <c r="D2" s="1220"/>
      <c r="E2" s="1220"/>
      <c r="F2" s="1221"/>
      <c r="G2" s="1222"/>
      <c r="L2" s="1218"/>
      <c r="M2" s="1219"/>
      <c r="N2" s="1219"/>
      <c r="O2" s="1219"/>
      <c r="P2" s="1219"/>
      <c r="Q2" s="1219"/>
      <c r="R2" s="1219"/>
      <c r="S2" s="1219"/>
      <c r="T2" s="1219"/>
      <c r="U2" s="1219"/>
      <c r="V2" s="1219"/>
      <c r="W2" s="1219"/>
      <c r="X2" s="1219"/>
      <c r="Y2" s="1219"/>
      <c r="Z2" s="1219"/>
      <c r="AA2" s="1219"/>
      <c r="AB2" s="1219"/>
      <c r="AC2" s="1219"/>
      <c r="AD2" s="1219"/>
      <c r="AE2" s="1219"/>
      <c r="AF2" s="1219"/>
      <c r="AG2" s="1219"/>
      <c r="AH2" s="1219"/>
      <c r="AI2" s="1219"/>
      <c r="AJ2" s="1219"/>
      <c r="AK2" s="1219"/>
      <c r="AL2" s="1219"/>
      <c r="AM2" s="1219"/>
      <c r="AN2" s="1219"/>
      <c r="AO2" s="1219"/>
      <c r="AP2" s="1219"/>
      <c r="AQ2" s="1219"/>
      <c r="AR2" s="1219"/>
      <c r="AS2" s="1219"/>
      <c r="AT2" s="1219"/>
      <c r="AU2" s="1219"/>
      <c r="AV2" s="1219"/>
      <c r="AW2" s="1219"/>
      <c r="AX2" s="1219"/>
      <c r="AY2" s="1219"/>
      <c r="AZ2" s="1219"/>
      <c r="BA2" s="1219"/>
      <c r="BB2" s="1219"/>
      <c r="BC2" s="1219"/>
      <c r="BD2" s="1219"/>
      <c r="BE2" s="1219"/>
      <c r="BF2" s="1219"/>
      <c r="BG2" s="1219"/>
      <c r="BH2" s="1219"/>
      <c r="BI2" s="1219"/>
      <c r="BJ2" s="1219"/>
    </row>
    <row r="3" spans="1:62" s="1216" customFormat="1" ht="16.5" customHeight="1">
      <c r="A3" s="1814" t="s">
        <v>1299</v>
      </c>
      <c r="B3" s="1814"/>
      <c r="C3" s="1814"/>
      <c r="D3" s="1814"/>
      <c r="E3" s="1814"/>
      <c r="F3" s="1814"/>
      <c r="G3" s="1814"/>
      <c r="H3" s="1814"/>
      <c r="I3" s="1814"/>
      <c r="L3" s="1218"/>
      <c r="M3" s="1219"/>
      <c r="N3" s="1219"/>
      <c r="O3" s="1219"/>
      <c r="P3" s="1219"/>
      <c r="Q3" s="1219"/>
      <c r="R3" s="1219"/>
      <c r="S3" s="1219"/>
      <c r="T3" s="1219"/>
      <c r="U3" s="1219"/>
      <c r="V3" s="1219"/>
      <c r="W3" s="1219"/>
      <c r="X3" s="1219"/>
      <c r="Y3" s="1219"/>
      <c r="Z3" s="1219"/>
      <c r="AA3" s="1219"/>
      <c r="AB3" s="1219"/>
      <c r="AC3" s="1219"/>
      <c r="AD3" s="1219"/>
      <c r="AE3" s="1219"/>
      <c r="AF3" s="1219"/>
      <c r="AG3" s="1219"/>
      <c r="AH3" s="1219"/>
      <c r="AI3" s="1219"/>
      <c r="AJ3" s="1219"/>
      <c r="AK3" s="1219"/>
      <c r="AL3" s="1219"/>
      <c r="AM3" s="1219"/>
      <c r="AN3" s="1219"/>
      <c r="AO3" s="1219"/>
      <c r="AP3" s="1219"/>
      <c r="AQ3" s="1219"/>
      <c r="AR3" s="1219"/>
      <c r="AS3" s="1219"/>
      <c r="AT3" s="1219"/>
      <c r="AU3" s="1219"/>
      <c r="AV3" s="1219"/>
      <c r="AW3" s="1219"/>
      <c r="AX3" s="1219"/>
      <c r="AY3" s="1219"/>
      <c r="AZ3" s="1219"/>
      <c r="BA3" s="1219"/>
      <c r="BB3" s="1219"/>
      <c r="BC3" s="1219"/>
      <c r="BD3" s="1219"/>
      <c r="BE3" s="1219"/>
      <c r="BF3" s="1219"/>
      <c r="BG3" s="1219"/>
      <c r="BH3" s="1219"/>
      <c r="BI3" s="1219"/>
      <c r="BJ3" s="1219"/>
    </row>
    <row r="4" spans="1:62" s="1216" customFormat="1" ht="11.25" customHeight="1">
      <c r="A4" s="1814"/>
      <c r="B4" s="1814"/>
      <c r="C4" s="1814"/>
      <c r="D4" s="1814"/>
      <c r="E4" s="1814"/>
      <c r="F4" s="1814"/>
      <c r="G4" s="1814"/>
      <c r="H4" s="1814"/>
      <c r="I4" s="1814"/>
      <c r="J4" s="1223"/>
      <c r="K4" s="1223"/>
      <c r="L4" s="1223"/>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row>
    <row r="5" spans="1:62" s="1216" customFormat="1" ht="11.25" customHeight="1">
      <c r="A5" s="1814"/>
      <c r="B5" s="1814"/>
      <c r="C5" s="1814"/>
      <c r="D5" s="1814"/>
      <c r="E5" s="1814"/>
      <c r="F5" s="1814"/>
      <c r="G5" s="1814"/>
      <c r="H5" s="1814"/>
      <c r="I5" s="1814"/>
      <c r="J5" s="1223"/>
      <c r="K5" s="1223"/>
      <c r="L5" s="1223"/>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row>
    <row r="6" spans="1:62" ht="15" customHeight="1">
      <c r="A6" s="1815" t="s">
        <v>682</v>
      </c>
      <c r="B6" s="1816"/>
      <c r="C6" s="1817" t="s">
        <v>395</v>
      </c>
      <c r="D6" s="1818"/>
      <c r="E6" s="1818"/>
      <c r="F6" s="1818"/>
      <c r="G6" s="1818"/>
      <c r="H6" s="1818"/>
      <c r="I6" s="1818"/>
      <c r="J6" s="1818"/>
      <c r="K6" s="1818"/>
      <c r="L6" s="1818"/>
      <c r="M6" s="1818"/>
      <c r="N6" s="1818"/>
      <c r="O6" s="1818"/>
      <c r="P6" s="1818"/>
      <c r="Q6" s="1819"/>
    </row>
    <row r="7" spans="1:62" ht="28.5" customHeight="1">
      <c r="B7" s="1224"/>
      <c r="C7" s="1806" t="s">
        <v>396</v>
      </c>
      <c r="D7" s="1807"/>
      <c r="E7" s="1808"/>
      <c r="F7" s="1809" t="s">
        <v>1123</v>
      </c>
      <c r="G7" s="1807"/>
      <c r="H7" s="1807"/>
      <c r="I7" s="1808"/>
      <c r="J7" s="1809" t="s">
        <v>1122</v>
      </c>
      <c r="K7" s="1807"/>
      <c r="L7" s="1807"/>
      <c r="M7" s="1796" t="s">
        <v>397</v>
      </c>
      <c r="N7" s="1796" t="s">
        <v>398</v>
      </c>
      <c r="O7" s="1796" t="s">
        <v>399</v>
      </c>
      <c r="P7" s="1810" t="s">
        <v>400</v>
      </c>
      <c r="Q7" s="1796" t="s">
        <v>401</v>
      </c>
    </row>
    <row r="8" spans="1:62" ht="58.5" customHeight="1">
      <c r="A8" s="1525" t="s">
        <v>266</v>
      </c>
      <c r="B8" s="1525" t="s">
        <v>1385</v>
      </c>
      <c r="C8" s="1225" t="s">
        <v>402</v>
      </c>
      <c r="D8" s="1225" t="s">
        <v>403</v>
      </c>
      <c r="E8" s="1225" t="s">
        <v>404</v>
      </c>
      <c r="F8" s="1225" t="s">
        <v>405</v>
      </c>
      <c r="G8" s="1226" t="s">
        <v>406</v>
      </c>
      <c r="H8" s="1225" t="s">
        <v>407</v>
      </c>
      <c r="I8" s="1225" t="s">
        <v>408</v>
      </c>
      <c r="J8" s="1225" t="s">
        <v>409</v>
      </c>
      <c r="K8" s="1225" t="s">
        <v>410</v>
      </c>
      <c r="L8" s="1225" t="s">
        <v>411</v>
      </c>
      <c r="M8" s="1796"/>
      <c r="N8" s="1796"/>
      <c r="O8" s="1796"/>
      <c r="P8" s="1811"/>
      <c r="Q8" s="1796"/>
      <c r="W8" s="1227" t="s">
        <v>412</v>
      </c>
    </row>
    <row r="9" spans="1:62" ht="7.5" customHeight="1">
      <c r="A9" s="1526"/>
      <c r="B9" s="1526"/>
      <c r="C9" s="1228"/>
      <c r="D9" s="1228"/>
      <c r="E9" s="1228"/>
      <c r="F9" s="1228"/>
      <c r="G9" s="1229"/>
      <c r="H9" s="1229"/>
      <c r="I9" s="1229"/>
      <c r="J9" s="1229"/>
      <c r="K9" s="1229"/>
      <c r="L9" s="1229"/>
      <c r="M9" s="1230"/>
      <c r="N9" s="1230"/>
      <c r="O9" s="1230"/>
      <c r="P9" s="1230"/>
      <c r="Q9" s="1230"/>
      <c r="W9" s="1227"/>
    </row>
    <row r="10" spans="1:62" ht="15" customHeight="1">
      <c r="A10" s="1523" t="s">
        <v>6</v>
      </c>
      <c r="B10" s="1238" t="s">
        <v>1300</v>
      </c>
      <c r="C10" s="1232">
        <v>2279071</v>
      </c>
      <c r="D10" s="1232">
        <v>1234521</v>
      </c>
      <c r="E10" s="1232">
        <v>224732</v>
      </c>
      <c r="F10" s="1232">
        <v>0</v>
      </c>
      <c r="G10" s="1232">
        <v>0</v>
      </c>
      <c r="H10" s="1232">
        <v>0</v>
      </c>
      <c r="I10" s="1232">
        <v>0</v>
      </c>
      <c r="J10" s="1232">
        <v>417021</v>
      </c>
      <c r="K10" s="1232">
        <v>-26318</v>
      </c>
      <c r="L10" s="1232">
        <v>278986</v>
      </c>
      <c r="M10" s="1232">
        <v>0</v>
      </c>
      <c r="N10" s="1232">
        <v>0</v>
      </c>
      <c r="O10" s="1232">
        <v>0</v>
      </c>
      <c r="P10" s="1232">
        <v>55390</v>
      </c>
      <c r="Q10" s="1233">
        <f>SUM(C10:P10)</f>
        <v>4463403</v>
      </c>
      <c r="W10" s="1227" t="s">
        <v>413</v>
      </c>
    </row>
    <row r="11" spans="1:62" ht="15" customHeight="1">
      <c r="A11" s="1234"/>
      <c r="B11" s="1231" t="s">
        <v>1301</v>
      </c>
      <c r="C11" s="1235"/>
      <c r="D11" s="1235"/>
      <c r="E11" s="1235"/>
      <c r="F11" s="1235"/>
      <c r="W11" s="1227"/>
    </row>
    <row r="12" spans="1:62" ht="7.5" customHeight="1">
      <c r="A12" s="1236"/>
      <c r="B12" s="1231"/>
      <c r="C12" s="1229"/>
      <c r="D12" s="1229"/>
      <c r="E12" s="1229"/>
      <c r="F12" s="1229"/>
      <c r="W12" s="1227"/>
    </row>
    <row r="13" spans="1:62" ht="15" customHeight="1">
      <c r="A13" s="1525" t="s">
        <v>8</v>
      </c>
      <c r="B13" s="1238" t="s">
        <v>1302</v>
      </c>
      <c r="W13" s="1227"/>
    </row>
    <row r="14" spans="1:62" ht="15" customHeight="1">
      <c r="A14" s="1524" t="s">
        <v>275</v>
      </c>
      <c r="B14" s="1545" t="s">
        <v>1387</v>
      </c>
      <c r="C14" s="1232">
        <v>-305</v>
      </c>
      <c r="D14" s="1232">
        <v>0</v>
      </c>
      <c r="E14" s="1232">
        <v>0</v>
      </c>
      <c r="F14" s="1232">
        <v>0</v>
      </c>
      <c r="G14" s="1232">
        <v>0</v>
      </c>
      <c r="H14" s="1232">
        <v>0</v>
      </c>
      <c r="I14" s="1232">
        <v>0</v>
      </c>
      <c r="J14" s="1232">
        <v>0</v>
      </c>
      <c r="K14" s="1232">
        <v>-216</v>
      </c>
      <c r="L14" s="1232">
        <v>0</v>
      </c>
      <c r="M14" s="1232">
        <v>0</v>
      </c>
      <c r="N14" s="1232">
        <v>0</v>
      </c>
      <c r="O14" s="1232">
        <v>0</v>
      </c>
      <c r="P14" s="1232">
        <v>0</v>
      </c>
      <c r="Q14" s="1233">
        <f>SUM(C14:P14)</f>
        <v>-521</v>
      </c>
      <c r="W14" s="1227"/>
    </row>
    <row r="15" spans="1:62" ht="15" customHeight="1">
      <c r="A15" s="1524" t="s">
        <v>276</v>
      </c>
      <c r="B15" s="1223" t="s">
        <v>1368</v>
      </c>
      <c r="C15" s="1232">
        <f>6607722-360000</f>
        <v>6247722</v>
      </c>
      <c r="D15" s="1232">
        <f>164538+360000</f>
        <v>524538</v>
      </c>
      <c r="E15" s="1232">
        <v>63709</v>
      </c>
      <c r="F15" s="1232">
        <v>0</v>
      </c>
      <c r="G15" s="1232">
        <v>0</v>
      </c>
      <c r="H15" s="1232">
        <v>0</v>
      </c>
      <c r="I15" s="1232">
        <v>0</v>
      </c>
      <c r="J15" s="1232">
        <v>230383</v>
      </c>
      <c r="K15" s="1232">
        <v>109642</v>
      </c>
      <c r="L15" s="1232">
        <v>230370</v>
      </c>
      <c r="M15" s="1232">
        <v>0</v>
      </c>
      <c r="N15" s="1232">
        <v>0</v>
      </c>
      <c r="O15" s="1232">
        <v>0</v>
      </c>
      <c r="P15" s="1232">
        <v>0</v>
      </c>
      <c r="Q15" s="1233">
        <f>SUM(C15:P15)</f>
        <v>7406364</v>
      </c>
      <c r="W15" s="1227"/>
    </row>
    <row r="16" spans="1:62" ht="15" customHeight="1">
      <c r="A16" s="1524" t="s">
        <v>277</v>
      </c>
      <c r="B16" s="1223" t="s">
        <v>1369</v>
      </c>
      <c r="C16" s="1232">
        <v>5861072</v>
      </c>
      <c r="D16" s="1232">
        <v>816169</v>
      </c>
      <c r="E16" s="1232">
        <v>7160</v>
      </c>
      <c r="F16" s="1232">
        <v>0</v>
      </c>
      <c r="G16" s="1232">
        <v>0</v>
      </c>
      <c r="H16" s="1232">
        <v>0</v>
      </c>
      <c r="I16" s="1232">
        <v>0</v>
      </c>
      <c r="J16" s="1232">
        <v>214739</v>
      </c>
      <c r="K16" s="1232">
        <v>116634</v>
      </c>
      <c r="L16" s="1232">
        <v>283546</v>
      </c>
      <c r="M16" s="1232">
        <v>0</v>
      </c>
      <c r="N16" s="1232">
        <v>0</v>
      </c>
      <c r="O16" s="1232">
        <v>0</v>
      </c>
      <c r="P16" s="1232">
        <v>4086</v>
      </c>
      <c r="Q16" s="1233">
        <f>SUM(C16:P16)</f>
        <v>7303406</v>
      </c>
      <c r="W16" s="1227"/>
    </row>
    <row r="17" spans="1:23" ht="15" customHeight="1">
      <c r="A17" s="1236"/>
      <c r="B17" s="1231"/>
      <c r="C17" s="1231"/>
      <c r="D17" s="1241"/>
      <c r="E17" s="1241"/>
      <c r="F17" s="1241"/>
      <c r="G17" s="1241"/>
      <c r="H17" s="1241"/>
      <c r="I17" s="1241"/>
      <c r="J17" s="1241"/>
      <c r="K17" s="1241"/>
      <c r="L17" s="1241"/>
      <c r="M17" s="1241"/>
      <c r="N17" s="1241"/>
      <c r="O17" s="1241"/>
      <c r="P17" s="1241"/>
      <c r="Q17" s="1241"/>
      <c r="W17" s="1227"/>
    </row>
    <row r="18" spans="1:23" ht="15" customHeight="1">
      <c r="A18" s="1525" t="s">
        <v>22</v>
      </c>
      <c r="B18" s="1238" t="s">
        <v>1303</v>
      </c>
      <c r="C18" s="1548">
        <f>C10+C14+C15-C16</f>
        <v>2665416</v>
      </c>
      <c r="D18" s="1548">
        <f t="shared" ref="D18:P18" si="0">D10+D14+D15-D16</f>
        <v>942890</v>
      </c>
      <c r="E18" s="1548">
        <f t="shared" si="0"/>
        <v>281281</v>
      </c>
      <c r="F18" s="1548">
        <f t="shared" si="0"/>
        <v>0</v>
      </c>
      <c r="G18" s="1548">
        <f t="shared" si="0"/>
        <v>0</v>
      </c>
      <c r="H18" s="1548">
        <f t="shared" si="0"/>
        <v>0</v>
      </c>
      <c r="I18" s="1548">
        <f t="shared" si="0"/>
        <v>0</v>
      </c>
      <c r="J18" s="1548">
        <f t="shared" si="0"/>
        <v>432665</v>
      </c>
      <c r="K18" s="1548">
        <f t="shared" si="0"/>
        <v>-33526</v>
      </c>
      <c r="L18" s="1548">
        <f>L10+L14+L15-L16</f>
        <v>225810</v>
      </c>
      <c r="M18" s="1548">
        <f t="shared" si="0"/>
        <v>0</v>
      </c>
      <c r="N18" s="1548">
        <f t="shared" si="0"/>
        <v>0</v>
      </c>
      <c r="O18" s="1548">
        <f t="shared" si="0"/>
        <v>0</v>
      </c>
      <c r="P18" s="1548">
        <f t="shared" si="0"/>
        <v>51304</v>
      </c>
      <c r="Q18" s="1549">
        <f t="shared" ref="Q18" si="1">SUM(C18:P18)</f>
        <v>4565840</v>
      </c>
      <c r="W18" s="1227"/>
    </row>
    <row r="19" spans="1:23" ht="15" customHeight="1">
      <c r="A19" s="1524" t="s">
        <v>1380</v>
      </c>
      <c r="B19" s="1223" t="s">
        <v>1370</v>
      </c>
      <c r="C19" s="1232">
        <v>0</v>
      </c>
      <c r="D19" s="1232">
        <v>0</v>
      </c>
      <c r="E19" s="1232">
        <v>0</v>
      </c>
      <c r="F19" s="1232">
        <v>0</v>
      </c>
      <c r="G19" s="1232">
        <v>0</v>
      </c>
      <c r="H19" s="1232">
        <v>0</v>
      </c>
      <c r="I19" s="1232">
        <v>0</v>
      </c>
      <c r="J19" s="1232">
        <v>0</v>
      </c>
      <c r="K19" s="1232">
        <v>0</v>
      </c>
      <c r="L19" s="1550">
        <v>0</v>
      </c>
      <c r="M19" s="1232">
        <v>0</v>
      </c>
      <c r="N19" s="1232">
        <v>0</v>
      </c>
      <c r="O19" s="1232">
        <v>0</v>
      </c>
      <c r="P19" s="1232">
        <v>0</v>
      </c>
      <c r="Q19" s="1549">
        <f>SUM(C19:P19)</f>
        <v>0</v>
      </c>
      <c r="W19" s="1227"/>
    </row>
    <row r="20" spans="1:23" ht="15" customHeight="1">
      <c r="A20" s="1524" t="s">
        <v>276</v>
      </c>
      <c r="B20" s="1223" t="s">
        <v>1371</v>
      </c>
      <c r="C20" s="1232">
        <v>0</v>
      </c>
      <c r="D20" s="1232">
        <v>0</v>
      </c>
      <c r="E20" s="1232">
        <v>0</v>
      </c>
      <c r="F20" s="1232">
        <v>0</v>
      </c>
      <c r="G20" s="1232">
        <v>0</v>
      </c>
      <c r="H20" s="1232">
        <v>0</v>
      </c>
      <c r="I20" s="1232">
        <v>0</v>
      </c>
      <c r="J20" s="1550">
        <v>432665</v>
      </c>
      <c r="K20" s="1232">
        <v>0</v>
      </c>
      <c r="L20" s="1550">
        <v>225810</v>
      </c>
      <c r="M20" s="1232">
        <v>0</v>
      </c>
      <c r="N20" s="1232">
        <v>0</v>
      </c>
      <c r="O20" s="1232">
        <v>0</v>
      </c>
      <c r="P20" s="1550">
        <v>51304</v>
      </c>
      <c r="Q20" s="1549">
        <f t="shared" ref="Q20:Q23" si="2">SUM(C20:P20)</f>
        <v>709779</v>
      </c>
      <c r="W20" s="1227"/>
    </row>
    <row r="21" spans="1:23" ht="15" customHeight="1">
      <c r="A21" s="1524" t="s">
        <v>1382</v>
      </c>
      <c r="B21" s="1223" t="s">
        <v>1372</v>
      </c>
      <c r="C21" s="1232">
        <v>0</v>
      </c>
      <c r="D21" s="1232">
        <v>0</v>
      </c>
      <c r="E21" s="1232">
        <v>0</v>
      </c>
      <c r="F21" s="1232">
        <v>0</v>
      </c>
      <c r="G21" s="1232">
        <v>0</v>
      </c>
      <c r="H21" s="1232">
        <v>0</v>
      </c>
      <c r="I21" s="1232">
        <v>0</v>
      </c>
      <c r="J21" s="1232">
        <v>0</v>
      </c>
      <c r="K21" s="1232">
        <v>0</v>
      </c>
      <c r="L21" s="1550">
        <v>0</v>
      </c>
      <c r="M21" s="1232">
        <v>0</v>
      </c>
      <c r="N21" s="1232">
        <v>0</v>
      </c>
      <c r="O21" s="1232">
        <v>0</v>
      </c>
      <c r="P21" s="1232">
        <v>0</v>
      </c>
      <c r="Q21" s="1549">
        <f t="shared" si="2"/>
        <v>0</v>
      </c>
      <c r="W21" s="1227"/>
    </row>
    <row r="22" spans="1:23" ht="15" customHeight="1">
      <c r="A22" s="1524" t="s">
        <v>286</v>
      </c>
      <c r="B22" s="1223" t="s">
        <v>1373</v>
      </c>
      <c r="C22" s="1232">
        <v>0</v>
      </c>
      <c r="D22" s="1232">
        <v>0</v>
      </c>
      <c r="E22" s="1232">
        <v>0</v>
      </c>
      <c r="F22" s="1232">
        <v>0</v>
      </c>
      <c r="G22" s="1232">
        <v>0</v>
      </c>
      <c r="H22" s="1232">
        <v>0</v>
      </c>
      <c r="I22" s="1232">
        <v>0</v>
      </c>
      <c r="J22" s="1232">
        <v>0</v>
      </c>
      <c r="K22" s="1232">
        <v>0</v>
      </c>
      <c r="L22" s="1550">
        <v>0</v>
      </c>
      <c r="M22" s="1232">
        <v>0</v>
      </c>
      <c r="N22" s="1232">
        <v>0</v>
      </c>
      <c r="O22" s="1232">
        <v>0</v>
      </c>
      <c r="P22" s="1232">
        <v>0</v>
      </c>
      <c r="Q22" s="1549">
        <f t="shared" si="2"/>
        <v>0</v>
      </c>
      <c r="W22" s="1227"/>
    </row>
    <row r="23" spans="1:23" ht="15" customHeight="1">
      <c r="A23" s="1524" t="s">
        <v>1383</v>
      </c>
      <c r="B23" s="1223" t="s">
        <v>1374</v>
      </c>
      <c r="C23" s="1550">
        <v>2665416</v>
      </c>
      <c r="D23" s="1550">
        <v>942890</v>
      </c>
      <c r="E23" s="1550">
        <v>281281</v>
      </c>
      <c r="F23" s="1232">
        <v>0</v>
      </c>
      <c r="G23" s="1232">
        <v>0</v>
      </c>
      <c r="H23" s="1232">
        <v>0</v>
      </c>
      <c r="I23" s="1232">
        <v>0</v>
      </c>
      <c r="J23" s="1232">
        <v>0</v>
      </c>
      <c r="K23" s="1550">
        <v>-33526</v>
      </c>
      <c r="L23" s="1550">
        <v>0</v>
      </c>
      <c r="M23" s="1232">
        <v>0</v>
      </c>
      <c r="N23" s="1232">
        <v>0</v>
      </c>
      <c r="O23" s="1232">
        <v>0</v>
      </c>
      <c r="P23" s="1232">
        <v>0</v>
      </c>
      <c r="Q23" s="1549">
        <f t="shared" si="2"/>
        <v>3856061</v>
      </c>
      <c r="W23" s="1227"/>
    </row>
    <row r="24" spans="1:23" ht="15" customHeight="1">
      <c r="A24" s="1231" t="s">
        <v>1384</v>
      </c>
      <c r="B24" s="1223" t="s">
        <v>1375</v>
      </c>
      <c r="C24" s="1548">
        <f>SUM(C19:C23)</f>
        <v>2665416</v>
      </c>
      <c r="D24" s="1548">
        <f t="shared" ref="D24:Q24" si="3">SUM(D19:D23)</f>
        <v>942890</v>
      </c>
      <c r="E24" s="1548">
        <f t="shared" si="3"/>
        <v>281281</v>
      </c>
      <c r="F24" s="1548">
        <f t="shared" si="3"/>
        <v>0</v>
      </c>
      <c r="G24" s="1548">
        <f t="shared" si="3"/>
        <v>0</v>
      </c>
      <c r="H24" s="1548">
        <f t="shared" si="3"/>
        <v>0</v>
      </c>
      <c r="I24" s="1548">
        <f t="shared" si="3"/>
        <v>0</v>
      </c>
      <c r="J24" s="1548">
        <f t="shared" si="3"/>
        <v>432665</v>
      </c>
      <c r="K24" s="1548">
        <f t="shared" si="3"/>
        <v>-33526</v>
      </c>
      <c r="L24" s="1548">
        <f t="shared" si="3"/>
        <v>225810</v>
      </c>
      <c r="M24" s="1548">
        <f t="shared" si="3"/>
        <v>0</v>
      </c>
      <c r="N24" s="1548">
        <f t="shared" si="3"/>
        <v>0</v>
      </c>
      <c r="O24" s="1548">
        <f t="shared" si="3"/>
        <v>0</v>
      </c>
      <c r="P24" s="1548">
        <f t="shared" si="3"/>
        <v>51304</v>
      </c>
      <c r="Q24" s="1548">
        <f t="shared" si="3"/>
        <v>4565840</v>
      </c>
      <c r="W24" s="1227"/>
    </row>
    <row r="25" spans="1:23" ht="9" customHeight="1">
      <c r="A25" s="1237"/>
      <c r="C25" s="1239"/>
      <c r="D25" s="1239"/>
      <c r="E25" s="1239"/>
      <c r="F25" s="1240"/>
      <c r="W25" s="1227"/>
    </row>
    <row r="26" spans="1:23" ht="15" customHeight="1">
      <c r="A26" s="1525" t="s">
        <v>40</v>
      </c>
      <c r="B26" s="1238" t="s">
        <v>1304</v>
      </c>
      <c r="C26" s="1239"/>
      <c r="D26" s="1239"/>
      <c r="E26" s="1239"/>
      <c r="F26" s="1240"/>
      <c r="W26" s="1227"/>
    </row>
    <row r="27" spans="1:23" ht="15" customHeight="1">
      <c r="A27" s="1524" t="s">
        <v>275</v>
      </c>
      <c r="B27" s="1223" t="s">
        <v>1376</v>
      </c>
      <c r="C27" s="1550">
        <v>0</v>
      </c>
      <c r="D27" s="1550">
        <v>0</v>
      </c>
      <c r="E27" s="1550">
        <v>0</v>
      </c>
      <c r="F27" s="1232">
        <v>0</v>
      </c>
      <c r="G27" s="1232">
        <v>0</v>
      </c>
      <c r="H27" s="1232">
        <v>0</v>
      </c>
      <c r="I27" s="1232">
        <v>0</v>
      </c>
      <c r="J27" s="1232">
        <v>0</v>
      </c>
      <c r="K27" s="1232">
        <v>0</v>
      </c>
      <c r="L27" s="1232">
        <v>0</v>
      </c>
      <c r="M27" s="1232">
        <v>0</v>
      </c>
      <c r="N27" s="1232">
        <v>0</v>
      </c>
      <c r="O27" s="1232">
        <v>0</v>
      </c>
      <c r="P27" s="1550">
        <v>0</v>
      </c>
      <c r="Q27" s="1549">
        <f t="shared" ref="Q27:Q30" si="4">SUM(C27:P27)</f>
        <v>0</v>
      </c>
      <c r="W27" s="1227"/>
    </row>
    <row r="28" spans="1:23" ht="15" customHeight="1">
      <c r="A28" s="1524" t="s">
        <v>276</v>
      </c>
      <c r="B28" s="1223" t="s">
        <v>1377</v>
      </c>
      <c r="C28" s="1550">
        <f>+C23-('Page 7'!J35)</f>
        <v>980038</v>
      </c>
      <c r="D28" s="1550">
        <v>0</v>
      </c>
      <c r="E28" s="1551"/>
      <c r="F28" s="1232">
        <v>0</v>
      </c>
      <c r="G28" s="1552"/>
      <c r="H28" s="1552"/>
      <c r="I28" s="1552"/>
      <c r="J28" s="1232">
        <v>0</v>
      </c>
      <c r="K28" s="1550">
        <v>-33526</v>
      </c>
      <c r="L28" s="1552"/>
      <c r="M28" s="1552"/>
      <c r="N28" s="1552"/>
      <c r="O28" s="1552"/>
      <c r="P28" s="1552"/>
      <c r="Q28" s="1549">
        <f t="shared" si="4"/>
        <v>946512</v>
      </c>
      <c r="W28" s="1227"/>
    </row>
    <row r="29" spans="1:23" ht="15" customHeight="1">
      <c r="A29" s="1524" t="s">
        <v>277</v>
      </c>
      <c r="B29" s="1223" t="s">
        <v>1378</v>
      </c>
      <c r="C29" s="1550">
        <f>+C24-C28-C30</f>
        <v>731394</v>
      </c>
      <c r="D29" s="1550">
        <v>0</v>
      </c>
      <c r="E29" s="1550">
        <v>281281</v>
      </c>
      <c r="F29" s="1232">
        <v>0</v>
      </c>
      <c r="G29" s="1232">
        <v>0</v>
      </c>
      <c r="H29" s="1232">
        <v>0</v>
      </c>
      <c r="I29" s="1232">
        <v>0</v>
      </c>
      <c r="J29" s="1550">
        <f>+J24-J30</f>
        <v>13663</v>
      </c>
      <c r="K29" s="1232">
        <v>0</v>
      </c>
      <c r="L29" s="1550">
        <v>225810</v>
      </c>
      <c r="M29" s="1552"/>
      <c r="N29" s="1232">
        <v>0</v>
      </c>
      <c r="O29" s="1232">
        <v>0</v>
      </c>
      <c r="P29" s="1550">
        <v>51304</v>
      </c>
      <c r="Q29" s="1549">
        <f t="shared" si="4"/>
        <v>1303452</v>
      </c>
      <c r="W29" s="1227"/>
    </row>
    <row r="30" spans="1:23" ht="15" customHeight="1">
      <c r="A30" s="1524" t="s">
        <v>286</v>
      </c>
      <c r="B30" s="1223" t="s">
        <v>1379</v>
      </c>
      <c r="C30" s="1549">
        <f>+F001Carryforward</f>
        <v>953984</v>
      </c>
      <c r="D30" s="1549">
        <v>942890</v>
      </c>
      <c r="E30" s="1550">
        <v>0</v>
      </c>
      <c r="F30" s="1232">
        <v>0</v>
      </c>
      <c r="G30" s="1232">
        <v>0</v>
      </c>
      <c r="H30" s="1232">
        <v>0</v>
      </c>
      <c r="I30" s="1232">
        <v>0</v>
      </c>
      <c r="J30" s="1549">
        <v>419002</v>
      </c>
      <c r="K30" s="1232">
        <v>0</v>
      </c>
      <c r="L30" s="1550">
        <v>0</v>
      </c>
      <c r="M30" s="1232">
        <v>0</v>
      </c>
      <c r="N30" s="1232">
        <v>0</v>
      </c>
      <c r="O30" s="1232">
        <v>0</v>
      </c>
      <c r="P30" s="1550">
        <v>0</v>
      </c>
      <c r="Q30" s="1549">
        <f t="shared" si="4"/>
        <v>2315876</v>
      </c>
      <c r="W30" s="1227"/>
    </row>
    <row r="31" spans="1:23" ht="15" customHeight="1">
      <c r="A31" s="1231" t="s">
        <v>291</v>
      </c>
      <c r="B31" s="1223" t="s">
        <v>1375</v>
      </c>
      <c r="C31" s="1548">
        <f t="shared" ref="C31:Q31" si="5">SUM(C27:C30)</f>
        <v>2665416</v>
      </c>
      <c r="D31" s="1548">
        <f t="shared" si="5"/>
        <v>942890</v>
      </c>
      <c r="E31" s="1548">
        <f t="shared" si="5"/>
        <v>281281</v>
      </c>
      <c r="F31" s="1548">
        <f t="shared" si="5"/>
        <v>0</v>
      </c>
      <c r="G31" s="1548">
        <f t="shared" si="5"/>
        <v>0</v>
      </c>
      <c r="H31" s="1548">
        <f t="shared" si="5"/>
        <v>0</v>
      </c>
      <c r="I31" s="1548">
        <f t="shared" si="5"/>
        <v>0</v>
      </c>
      <c r="J31" s="1548">
        <f t="shared" si="5"/>
        <v>432665</v>
      </c>
      <c r="K31" s="1548">
        <f t="shared" si="5"/>
        <v>-33526</v>
      </c>
      <c r="L31" s="1548">
        <f t="shared" si="5"/>
        <v>225810</v>
      </c>
      <c r="M31" s="1548">
        <f t="shared" si="5"/>
        <v>0</v>
      </c>
      <c r="N31" s="1548">
        <f t="shared" si="5"/>
        <v>0</v>
      </c>
      <c r="O31" s="1548">
        <f t="shared" si="5"/>
        <v>0</v>
      </c>
      <c r="P31" s="1548">
        <f t="shared" si="5"/>
        <v>51304</v>
      </c>
      <c r="Q31" s="1548">
        <f t="shared" si="5"/>
        <v>4565840</v>
      </c>
      <c r="W31" s="1227"/>
    </row>
    <row r="32" spans="1:23" ht="15" customHeight="1">
      <c r="A32" s="1231"/>
      <c r="B32" s="1231"/>
      <c r="C32" s="1239"/>
      <c r="D32" s="1239"/>
      <c r="E32" s="1239"/>
      <c r="F32" s="1239"/>
      <c r="W32" s="1227"/>
    </row>
    <row r="33" spans="1:5">
      <c r="A33" s="1442" t="s">
        <v>267</v>
      </c>
      <c r="B33" s="1238" t="s">
        <v>414</v>
      </c>
    </row>
    <row r="34" spans="1:5">
      <c r="A34" s="1797" t="s">
        <v>1426</v>
      </c>
      <c r="B34" s="1798"/>
      <c r="C34" s="1798"/>
      <c r="D34" s="1798"/>
      <c r="E34" s="1799"/>
    </row>
    <row r="35" spans="1:5">
      <c r="A35" s="1800"/>
      <c r="B35" s="1801"/>
      <c r="C35" s="1801"/>
      <c r="D35" s="1801"/>
      <c r="E35" s="1802"/>
    </row>
    <row r="36" spans="1:5">
      <c r="A36" s="1800"/>
      <c r="B36" s="1801"/>
      <c r="C36" s="1801"/>
      <c r="D36" s="1801"/>
      <c r="E36" s="1802"/>
    </row>
    <row r="37" spans="1:5">
      <c r="A37" s="1800"/>
      <c r="B37" s="1801"/>
      <c r="C37" s="1801"/>
      <c r="D37" s="1801"/>
      <c r="E37" s="1802"/>
    </row>
    <row r="38" spans="1:5">
      <c r="A38" s="1800"/>
      <c r="B38" s="1801"/>
      <c r="C38" s="1801"/>
      <c r="D38" s="1801"/>
      <c r="E38" s="1802"/>
    </row>
    <row r="39" spans="1:5">
      <c r="A39" s="1800"/>
      <c r="B39" s="1801"/>
      <c r="C39" s="1801"/>
      <c r="D39" s="1801"/>
      <c r="E39" s="1802"/>
    </row>
    <row r="40" spans="1:5">
      <c r="A40" s="1800"/>
      <c r="B40" s="1801"/>
      <c r="C40" s="1801"/>
      <c r="D40" s="1801"/>
      <c r="E40" s="1802"/>
    </row>
    <row r="41" spans="1:5">
      <c r="A41" s="1803"/>
      <c r="B41" s="1804"/>
      <c r="C41" s="1804"/>
      <c r="D41" s="1804"/>
      <c r="E41" s="1805"/>
    </row>
  </sheetData>
  <mergeCells count="14">
    <mergeCell ref="C1:D1"/>
    <mergeCell ref="F1:G1"/>
    <mergeCell ref="A3:I5"/>
    <mergeCell ref="A6:B6"/>
    <mergeCell ref="C6:Q6"/>
    <mergeCell ref="Q7:Q8"/>
    <mergeCell ref="A34:E41"/>
    <mergeCell ref="C7:E7"/>
    <mergeCell ref="F7:I7"/>
    <mergeCell ref="J7:L7"/>
    <mergeCell ref="M7:M8"/>
    <mergeCell ref="N7:N8"/>
    <mergeCell ref="O7:O8"/>
    <mergeCell ref="P7:P8"/>
  </mergeCells>
  <conditionalFormatting sqref="A34">
    <cfRule type="containsBlanks" dxfId="16" priority="16">
      <formula>LEN(TRIM(A34))=0</formula>
    </cfRule>
  </conditionalFormatting>
  <conditionalFormatting sqref="C27:D30">
    <cfRule type="containsBlanks" dxfId="15" priority="25">
      <formula>LEN(TRIM(C27))=0</formula>
    </cfRule>
  </conditionalFormatting>
  <conditionalFormatting sqref="C10:P10">
    <cfRule type="containsBlanks" dxfId="14" priority="42">
      <formula>LEN(TRIM(C10))=0</formula>
    </cfRule>
  </conditionalFormatting>
  <conditionalFormatting sqref="C14:P16">
    <cfRule type="containsBlanks" dxfId="13" priority="31">
      <formula>LEN(TRIM(C14))=0</formula>
    </cfRule>
  </conditionalFormatting>
  <conditionalFormatting sqref="C19:P23">
    <cfRule type="containsBlanks" dxfId="12" priority="3">
      <formula>LEN(TRIM(C19))=0</formula>
    </cfRule>
  </conditionalFormatting>
  <conditionalFormatting sqref="E29:I30">
    <cfRule type="containsBlanks" dxfId="11" priority="9">
      <formula>LEN(TRIM(E29))=0</formula>
    </cfRule>
  </conditionalFormatting>
  <conditionalFormatting sqref="E27:P27">
    <cfRule type="containsBlanks" dxfId="10" priority="10">
      <formula>LEN(TRIM(E27))=0</formula>
    </cfRule>
  </conditionalFormatting>
  <conditionalFormatting sqref="F28">
    <cfRule type="containsBlanks" dxfId="9" priority="6">
      <formula>LEN(TRIM(F28))=0</formula>
    </cfRule>
  </conditionalFormatting>
  <conditionalFormatting sqref="J28:K30">
    <cfRule type="containsBlanks" dxfId="8" priority="7">
      <formula>LEN(TRIM(J28))=0</formula>
    </cfRule>
  </conditionalFormatting>
  <conditionalFormatting sqref="L29:L30">
    <cfRule type="containsBlanks" dxfId="7" priority="21">
      <formula>LEN(TRIM(L29))=0</formula>
    </cfRule>
  </conditionalFormatting>
  <conditionalFormatting sqref="M30">
    <cfRule type="containsBlanks" dxfId="6" priority="1">
      <formula>LEN(TRIM(M30))=0</formula>
    </cfRule>
  </conditionalFormatting>
  <conditionalFormatting sqref="N29:P30">
    <cfRule type="containsBlanks" dxfId="5" priority="2">
      <formula>LEN(TRIM(N29))=0</formula>
    </cfRule>
  </conditionalFormatting>
  <hyperlinks>
    <hyperlink ref="A15" location="FundBalA2b" display="(b) FY 2026 revenues and other financing sources" xr:uid="{00000000-0004-0000-0E00-000001000000}"/>
    <hyperlink ref="A16" location="FundBalA2c" display="(c)" xr:uid="{00000000-0004-0000-0E00-000002000000}"/>
    <hyperlink ref="A19" location="FundBalA3a" display="(a) Nonspendable " xr:uid="{00000000-0004-0000-0E00-000003000000}"/>
    <hyperlink ref="A20" location="FundBalA3b" display="(b) Restricted" xr:uid="{00000000-0004-0000-0E00-000004000000}"/>
    <hyperlink ref="A21" location="FundBalA3c" display="(c) Committed" xr:uid="{00000000-0004-0000-0E00-000005000000}"/>
    <hyperlink ref="A22" location="FundBalA3d" display="(d) Assigned" xr:uid="{00000000-0004-0000-0E00-000006000000}"/>
    <hyperlink ref="A23" location="FundBalA3e" display="(e) Unassigned" xr:uid="{00000000-0004-0000-0E00-000007000000}"/>
    <hyperlink ref="A27" location="FundBalA4a" display="(a) Fund deficit" xr:uid="{00000000-0004-0000-0E00-000008000000}"/>
    <hyperlink ref="A28" location="FundBalA4b" display="(b) Fund balance exceeding budget capacity in budget controlled funds" xr:uid="{00000000-0004-0000-0E00-000009000000}"/>
    <hyperlink ref="A29" location="FundBalA4c" display="(c) Planned to be spent in FY 2025" xr:uid="{00000000-0004-0000-0E00-00000A000000}"/>
    <hyperlink ref="A30" location="FundBalA4d" display="(d) Maintained for spending after FY 2025" xr:uid="{00000000-0004-0000-0E00-00000B000000}"/>
    <hyperlink ref="A6:B6" location="FundBalGen" display="Instructions" xr:uid="{00000000-0004-0000-0E00-00000D000000}"/>
    <hyperlink ref="A14" location="FundBalA2a" display="(a) FY 2026 beginning fund balance adjustments" xr:uid="{DE14AE5B-CA99-42D9-BD12-9B6C82B1FD80}"/>
    <hyperlink ref="A10" location="FundBalA1" display="FY 2023 final ending fund balance " xr:uid="{00000000-0004-0000-0E00-000000000000}"/>
    <hyperlink ref="A33" location="FundBalC" display="Comments (optional)" xr:uid="{00000000-0004-0000-0E00-00000C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110" zoomScaleNormal="100" workbookViewId="0">
      <selection activeCell="C142" sqref="C142"/>
    </sheetView>
  </sheetViews>
  <sheetFormatPr defaultColWidth="9" defaultRowHeight="12"/>
  <cols>
    <col min="1" max="1" width="2.453125" style="96" customWidth="1"/>
    <col min="2" max="2" width="2" style="96" customWidth="1"/>
    <col min="3" max="3" width="2.54296875" style="96" customWidth="1"/>
    <col min="4" max="4" width="3" style="96" customWidth="1"/>
    <col min="5" max="5" width="15" style="96" customWidth="1"/>
    <col min="6" max="6" width="9" style="96" customWidth="1"/>
    <col min="7" max="7" width="9.453125" style="96" customWidth="1"/>
    <col min="8" max="8" width="10.6328125" style="96" customWidth="1"/>
    <col min="9" max="9" width="9" style="96" customWidth="1"/>
    <col min="10" max="10" width="9.81640625" style="96" customWidth="1"/>
    <col min="11" max="11" width="13.1796875" style="96" customWidth="1"/>
    <col min="12" max="12" width="9.81640625" style="96" customWidth="1"/>
    <col min="13" max="14" width="9" style="96" customWidth="1"/>
    <col min="15" max="15" width="10" style="96" customWidth="1"/>
    <col min="16" max="16" width="3" style="96" customWidth="1"/>
    <col min="17" max="17" width="9.81640625" style="96" bestFit="1" customWidth="1"/>
    <col min="18" max="23" width="9" style="96" customWidth="1"/>
    <col min="24" max="16384" width="9" style="96"/>
  </cols>
  <sheetData>
    <row r="1" spans="1:15">
      <c r="A1" s="1854" t="s">
        <v>56</v>
      </c>
      <c r="B1" s="1854"/>
      <c r="C1" s="1854"/>
      <c r="D1" s="1854"/>
      <c r="E1" s="1843" t="str">
        <f>DistrictName</f>
        <v>Mary C O'Brien Accommodation District</v>
      </c>
      <c r="F1" s="1843"/>
      <c r="G1" s="1843"/>
      <c r="H1" s="1305" t="s">
        <v>1</v>
      </c>
      <c r="I1" s="1855" t="str">
        <f>Cover!H1</f>
        <v>Pinal</v>
      </c>
      <c r="J1" s="1843"/>
      <c r="K1" s="1305" t="s">
        <v>57</v>
      </c>
      <c r="L1" s="748" t="str">
        <f>CTD</f>
        <v>110100000</v>
      </c>
    </row>
    <row r="2" spans="1:15">
      <c r="K2" s="1305" t="s">
        <v>16</v>
      </c>
      <c r="L2" s="748" t="str">
        <f>Cover!C8</f>
        <v>Proposed</v>
      </c>
    </row>
    <row r="3" spans="1:15" ht="15" customHeight="1">
      <c r="C3" s="1590" t="s">
        <v>682</v>
      </c>
      <c r="D3" s="1590"/>
      <c r="E3" s="1590"/>
      <c r="F3" s="1845" t="s">
        <v>415</v>
      </c>
      <c r="G3" s="1845"/>
      <c r="H3" s="1845"/>
      <c r="I3" s="1845"/>
    </row>
    <row r="4" spans="1:15" ht="12.6" thickBot="1"/>
    <row r="5" spans="1:15" ht="16.5" customHeight="1" thickBot="1">
      <c r="B5" s="1196" t="s">
        <v>1353</v>
      </c>
      <c r="C5" s="749"/>
      <c r="D5" s="749"/>
      <c r="E5" s="749"/>
      <c r="F5" s="749"/>
      <c r="G5" s="749"/>
      <c r="H5" s="749"/>
      <c r="I5" s="749"/>
      <c r="J5" s="749"/>
      <c r="K5" s="749"/>
      <c r="L5" s="1848" t="str">
        <f>IF(OR(L1=0,L2=0),"ENTER CTD NUMBER AND VERSION ON COVER PAGE","")</f>
        <v/>
      </c>
      <c r="M5" s="1849"/>
    </row>
    <row r="6" spans="1:15" ht="12.6" thickBot="1">
      <c r="B6" s="750"/>
      <c r="C6" s="1856" t="s">
        <v>1402</v>
      </c>
      <c r="D6" s="1856"/>
      <c r="E6" s="1856"/>
      <c r="F6" s="1856"/>
      <c r="G6" s="1856"/>
      <c r="H6" s="1856"/>
      <c r="I6" s="1511" t="s">
        <v>273</v>
      </c>
      <c r="J6" s="1512">
        <v>5215.53</v>
      </c>
      <c r="K6" s="1426"/>
      <c r="L6" s="1848"/>
      <c r="M6" s="1849"/>
    </row>
    <row r="7" spans="1:15" ht="12.6" thickBot="1">
      <c r="B7" s="750"/>
      <c r="C7" s="1857" t="s">
        <v>1403</v>
      </c>
      <c r="D7" s="1857"/>
      <c r="E7" s="1857"/>
      <c r="F7" s="1857"/>
      <c r="G7" s="1857"/>
      <c r="H7" s="1857"/>
      <c r="I7" s="1511"/>
      <c r="J7" s="1426"/>
      <c r="K7" s="1426"/>
      <c r="L7" s="1848"/>
      <c r="M7" s="1849"/>
    </row>
    <row r="8" spans="1:15" ht="12.75" customHeight="1" thickBot="1">
      <c r="B8" s="750"/>
      <c r="C8" s="1426"/>
      <c r="D8" s="1426" t="s">
        <v>1354</v>
      </c>
      <c r="E8" s="1426"/>
      <c r="F8" s="1426"/>
      <c r="G8" s="1426"/>
      <c r="H8" s="1426"/>
      <c r="I8" s="1511" t="s">
        <v>273</v>
      </c>
      <c r="J8" s="1512">
        <v>3.07</v>
      </c>
      <c r="K8" s="1426"/>
      <c r="L8" s="1848"/>
      <c r="M8" s="1849"/>
    </row>
    <row r="9" spans="1:15" ht="12.75" customHeight="1" thickBot="1">
      <c r="B9" s="750"/>
      <c r="C9" s="1426"/>
      <c r="D9" s="1426" t="s">
        <v>416</v>
      </c>
      <c r="E9" s="1426"/>
      <c r="F9" s="1426"/>
      <c r="G9" s="1426"/>
      <c r="H9" s="1426"/>
      <c r="I9" s="1511" t="s">
        <v>273</v>
      </c>
      <c r="J9" s="1512">
        <v>2.52</v>
      </c>
      <c r="K9" s="1426"/>
      <c r="L9" s="1848"/>
      <c r="M9" s="1849"/>
    </row>
    <row r="10" spans="1:15" ht="22.5" customHeight="1" thickBot="1">
      <c r="B10" s="750"/>
      <c r="C10" s="1852" t="s">
        <v>1404</v>
      </c>
      <c r="D10" s="1852"/>
      <c r="E10" s="1852"/>
      <c r="F10" s="1852"/>
      <c r="G10" s="1852"/>
      <c r="H10" s="1852"/>
      <c r="I10" s="1853"/>
      <c r="J10" s="1514">
        <v>1.5127999999999999</v>
      </c>
      <c r="K10" s="1426"/>
      <c r="L10" s="1848"/>
      <c r="M10" s="1849"/>
    </row>
    <row r="11" spans="1:15" ht="12.6" thickBot="1">
      <c r="B11" s="750"/>
      <c r="C11" s="1515" t="s">
        <v>1355</v>
      </c>
      <c r="D11" s="1513"/>
      <c r="E11" s="1513"/>
      <c r="F11" s="1513"/>
      <c r="G11" s="1513"/>
      <c r="H11" s="1513"/>
      <c r="I11" s="1516" t="s">
        <v>273</v>
      </c>
      <c r="J11" s="1512">
        <v>883</v>
      </c>
      <c r="K11" s="1258"/>
      <c r="L11" s="1848"/>
      <c r="M11" s="1849"/>
    </row>
    <row r="12" spans="1:15" ht="9" customHeight="1" thickBot="1">
      <c r="B12" s="751"/>
      <c r="C12" s="752"/>
      <c r="D12" s="752"/>
      <c r="E12" s="752"/>
      <c r="F12" s="752"/>
      <c r="G12" s="752"/>
      <c r="H12" s="752"/>
      <c r="I12" s="752"/>
      <c r="J12" s="752"/>
      <c r="K12" s="753"/>
      <c r="L12" s="1848"/>
      <c r="M12" s="1849"/>
      <c r="N12" s="906" t="s">
        <v>58</v>
      </c>
      <c r="O12" s="1363" t="s">
        <v>59</v>
      </c>
    </row>
    <row r="13" spans="1:15" ht="13.8">
      <c r="N13" s="906" t="s">
        <v>60</v>
      </c>
      <c r="O13" s="1363" t="s">
        <v>61</v>
      </c>
    </row>
    <row r="14" spans="1:15" ht="15.6">
      <c r="A14" s="310" t="s">
        <v>1126</v>
      </c>
      <c r="N14" s="906" t="s">
        <v>62</v>
      </c>
      <c r="O14" s="1363" t="s">
        <v>63</v>
      </c>
    </row>
    <row r="15" spans="1:15" ht="13.8">
      <c r="B15" s="1347"/>
      <c r="C15" s="1348"/>
      <c r="D15" s="1349"/>
      <c r="G15" s="1862" t="s">
        <v>1127</v>
      </c>
      <c r="H15" s="1862"/>
      <c r="N15" s="906" t="s">
        <v>64</v>
      </c>
      <c r="O15" s="1363" t="s">
        <v>65</v>
      </c>
    </row>
    <row r="16" spans="1:15" ht="13.8">
      <c r="B16" s="96" t="s">
        <v>1128</v>
      </c>
      <c r="C16" s="150"/>
      <c r="D16" s="151"/>
      <c r="F16" s="204"/>
      <c r="G16" s="1863" t="s">
        <v>70</v>
      </c>
      <c r="H16" s="1863"/>
      <c r="J16" s="151"/>
      <c r="K16" s="150"/>
      <c r="N16" s="906" t="s">
        <v>66</v>
      </c>
      <c r="O16" s="906"/>
    </row>
    <row r="17" spans="1:26" ht="13.8">
      <c r="C17" s="150"/>
      <c r="D17" s="151"/>
      <c r="F17" s="204"/>
      <c r="H17" s="152"/>
      <c r="I17" s="152"/>
      <c r="J17" s="151"/>
      <c r="K17" s="150"/>
      <c r="N17" s="906" t="s">
        <v>67</v>
      </c>
      <c r="O17" s="906"/>
    </row>
    <row r="18" spans="1:26" ht="13.8">
      <c r="B18" s="96" t="s">
        <v>1129</v>
      </c>
      <c r="C18" s="150"/>
      <c r="D18" s="151"/>
      <c r="F18" s="204"/>
      <c r="G18" s="1864" t="s">
        <v>59</v>
      </c>
      <c r="H18" s="1865"/>
      <c r="J18" s="1369"/>
      <c r="N18" s="906" t="s">
        <v>68</v>
      </c>
      <c r="O18" s="906"/>
    </row>
    <row r="19" spans="1:26" ht="13.8">
      <c r="C19" s="150"/>
      <c r="D19" s="151"/>
      <c r="F19" s="204"/>
      <c r="H19" s="1504"/>
      <c r="I19" s="154"/>
      <c r="J19" s="151"/>
      <c r="K19" s="155"/>
      <c r="N19" s="906" t="s">
        <v>69</v>
      </c>
      <c r="O19" s="906"/>
    </row>
    <row r="20" spans="1:26" ht="13.8">
      <c r="B20" s="96" t="s">
        <v>1130</v>
      </c>
      <c r="C20" s="150"/>
      <c r="D20" s="151"/>
      <c r="F20" s="204"/>
      <c r="G20" s="1864" t="s">
        <v>1426</v>
      </c>
      <c r="H20" s="1865"/>
      <c r="J20" s="151"/>
      <c r="K20" s="155"/>
      <c r="N20" s="906" t="s">
        <v>917</v>
      </c>
      <c r="O20" s="906"/>
    </row>
    <row r="21" spans="1:26" ht="15.6">
      <c r="B21" s="1505"/>
      <c r="C21" s="1348"/>
      <c r="D21" s="153"/>
      <c r="E21" s="204"/>
      <c r="F21" s="204"/>
      <c r="H21" s="1506"/>
      <c r="I21" s="1439"/>
      <c r="J21"/>
      <c r="K21"/>
      <c r="N21" s="906" t="s">
        <v>918</v>
      </c>
      <c r="O21" s="906"/>
    </row>
    <row r="22" spans="1:26" ht="15">
      <c r="A22"/>
      <c r="B22" s="1507" t="s">
        <v>1131</v>
      </c>
      <c r="C22" s="1507"/>
      <c r="D22" s="1507"/>
      <c r="E22" s="1507"/>
      <c r="G22" s="1861" t="s">
        <v>396</v>
      </c>
      <c r="H22" s="1861"/>
      <c r="I22" s="1439"/>
      <c r="J22"/>
      <c r="K22"/>
      <c r="N22" s="906" t="s">
        <v>70</v>
      </c>
      <c r="O22" s="906"/>
    </row>
    <row r="23" spans="1:26" ht="15">
      <c r="C23" s="1348"/>
      <c r="D23" s="153"/>
      <c r="E23" s="204"/>
      <c r="F23" s="204"/>
      <c r="I23" s="1439"/>
      <c r="J23"/>
      <c r="K23"/>
      <c r="N23" s="906" t="s">
        <v>71</v>
      </c>
      <c r="O23" s="906"/>
    </row>
    <row r="24" spans="1:26">
      <c r="B24" s="4"/>
      <c r="N24" s="906" t="s">
        <v>72</v>
      </c>
      <c r="O24" s="906"/>
    </row>
    <row r="25" spans="1:26" ht="15.6">
      <c r="A25" s="310" t="s">
        <v>417</v>
      </c>
      <c r="C25" s="310"/>
      <c r="D25" s="310"/>
      <c r="E25" s="310"/>
      <c r="N25" s="906" t="s">
        <v>73</v>
      </c>
      <c r="O25" s="906"/>
    </row>
    <row r="26" spans="1:26" ht="49.5" customHeight="1">
      <c r="B26" s="1627" t="s">
        <v>418</v>
      </c>
      <c r="C26" s="1794"/>
      <c r="D26" s="1794"/>
      <c r="E26" s="1794"/>
      <c r="F26" s="1794"/>
      <c r="G26" s="1794"/>
      <c r="H26" s="1794"/>
      <c r="I26" s="1794"/>
      <c r="J26" s="1794"/>
      <c r="K26" s="1794"/>
      <c r="N26" s="906" t="s">
        <v>74</v>
      </c>
      <c r="O26" s="906"/>
    </row>
    <row r="27" spans="1:26" ht="17.25" customHeight="1">
      <c r="C27" s="116" t="s">
        <v>1133</v>
      </c>
      <c r="G27" s="754" t="s">
        <v>419</v>
      </c>
      <c r="H27" s="754" t="s">
        <v>420</v>
      </c>
      <c r="I27" s="755" t="s">
        <v>421</v>
      </c>
      <c r="J27" s="756" t="s">
        <v>359</v>
      </c>
      <c r="K27" s="757"/>
      <c r="L27" s="1850" t="s">
        <v>1132</v>
      </c>
      <c r="M27" s="1850"/>
      <c r="N27" s="1850"/>
      <c r="O27" s="1851"/>
      <c r="P27" s="72"/>
    </row>
    <row r="28" spans="1:26" ht="11.25" customHeight="1">
      <c r="B28" s="758" t="s">
        <v>6</v>
      </c>
      <c r="C28" s="1582" t="s">
        <v>1274</v>
      </c>
      <c r="D28" s="1582"/>
      <c r="E28" s="1582"/>
      <c r="G28" s="759"/>
      <c r="H28" s="759"/>
      <c r="I28" s="760"/>
      <c r="J28" s="79">
        <v>187.42509999999999</v>
      </c>
      <c r="K28" s="1846" t="str">
        <f>IF(AND(J34&gt;0,PY100DayADM=""),_xlfn.CONCAT("ENTER ",C28),"")</f>
        <v/>
      </c>
      <c r="L28" s="1847"/>
      <c r="M28" s="1847"/>
      <c r="N28" s="1847"/>
    </row>
    <row r="29" spans="1:26" ht="11.25" customHeight="1">
      <c r="B29" s="758" t="s">
        <v>422</v>
      </c>
      <c r="C29" s="1582" t="s">
        <v>1275</v>
      </c>
      <c r="D29" s="1582"/>
      <c r="E29" s="1582"/>
      <c r="G29" s="80"/>
      <c r="H29" s="80">
        <v>115.88</v>
      </c>
      <c r="I29" s="81">
        <v>74.778300000000002</v>
      </c>
      <c r="J29" s="762">
        <f>UnweightedStudCntPSDPY+UnweightedStudCntK8PY+UnweightedStudCnt912PY</f>
        <v>190.6583</v>
      </c>
      <c r="K29" s="1846"/>
      <c r="L29" s="1847"/>
      <c r="M29" s="1847"/>
      <c r="N29" s="1847"/>
      <c r="Y29" s="764">
        <f>IF(AND(UnweightedStudCntK8PY&gt;125,UnweightedStudCntK8PY&lt;154),1,0)</f>
        <v>0</v>
      </c>
      <c r="Z29" s="765">
        <f>IF(AND(UnweightedStudCnt912PY&gt;100,UnweightedStudCnt912PY&lt;176),1,0)</f>
        <v>0</v>
      </c>
    </row>
    <row r="30" spans="1:26">
      <c r="B30" s="766"/>
      <c r="C30" s="116" t="s">
        <v>1134</v>
      </c>
      <c r="G30" s="746"/>
      <c r="H30" s="746"/>
      <c r="I30" s="746"/>
      <c r="J30" s="746"/>
    </row>
    <row r="31" spans="1:26" ht="11.25" customHeight="1">
      <c r="B31" s="758" t="s">
        <v>22</v>
      </c>
      <c r="C31" s="96" t="s">
        <v>1276</v>
      </c>
      <c r="G31" s="80"/>
      <c r="H31" s="80">
        <v>115.88</v>
      </c>
      <c r="I31" s="81">
        <v>74.778300000000002</v>
      </c>
      <c r="J31" s="762">
        <f>NonAOIStudCntPSDCY+NonAOIStudCntK8CY+NonAOIStudCnt912CY</f>
        <v>190.6583</v>
      </c>
      <c r="K31" s="1823"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24"/>
      <c r="M31" s="1824"/>
    </row>
    <row r="32" spans="1:26">
      <c r="B32" s="758" t="s">
        <v>40</v>
      </c>
      <c r="C32" s="96" t="s">
        <v>1277</v>
      </c>
      <c r="G32" s="767"/>
      <c r="H32" s="80"/>
      <c r="I32" s="81"/>
      <c r="J32" s="762">
        <f>AOIFTStudCntK8CY+AOIFTStudCnt912CY</f>
        <v>0</v>
      </c>
      <c r="K32" s="1823"/>
      <c r="L32" s="1824"/>
      <c r="M32" s="1824"/>
    </row>
    <row r="33" spans="2:17">
      <c r="B33" s="758" t="s">
        <v>98</v>
      </c>
      <c r="C33" s="96" t="s">
        <v>1278</v>
      </c>
      <c r="G33" s="767"/>
      <c r="H33" s="80"/>
      <c r="I33" s="81"/>
      <c r="J33" s="762">
        <f>AOIPTStudCntK8CY+AOIPTStudCnt912CY</f>
        <v>0</v>
      </c>
      <c r="K33" s="1823"/>
      <c r="L33" s="1824"/>
      <c r="M33" s="1824"/>
    </row>
    <row r="34" spans="2:17">
      <c r="B34" s="207" t="s">
        <v>99</v>
      </c>
      <c r="C34" s="96" t="s">
        <v>1279</v>
      </c>
      <c r="G34" s="762">
        <f>NonAOIStudCntPSDCY</f>
        <v>0</v>
      </c>
      <c r="H34" s="762">
        <f>NonAOIStudCntK8CY+AOIFTStudCntK8CY+AOIPTStudCntK8CY</f>
        <v>115.88</v>
      </c>
      <c r="I34" s="763">
        <f>NonAOIStudCnt912CY+AOIFTStudCnt912CY+AOIPTStudCnt912CY</f>
        <v>74.778300000000002</v>
      </c>
      <c r="J34" s="762">
        <f>G34+H34+I34</f>
        <v>190.6583</v>
      </c>
      <c r="K34" s="1824"/>
      <c r="L34" s="1824"/>
      <c r="M34" s="1824"/>
    </row>
    <row r="35" spans="2:17" ht="12.75" customHeight="1">
      <c r="J35" s="591"/>
      <c r="K35" s="1824"/>
      <c r="L35" s="1824"/>
      <c r="M35" s="1824"/>
    </row>
    <row r="36" spans="2:17" ht="11.25" customHeight="1"/>
    <row r="37" spans="2:17" ht="12.75" customHeight="1">
      <c r="B37" s="1825" t="s">
        <v>423</v>
      </c>
      <c r="C37" s="1825"/>
      <c r="D37" s="1825"/>
      <c r="E37" s="1825"/>
    </row>
    <row r="38" spans="2:17" ht="15" customHeight="1">
      <c r="B38" s="741"/>
      <c r="C38" s="119" t="s">
        <v>424</v>
      </c>
    </row>
    <row r="39" spans="2:17" ht="35.25" customHeight="1">
      <c r="B39" s="1300"/>
      <c r="C39" s="334"/>
      <c r="D39" s="768"/>
      <c r="E39" s="768"/>
      <c r="F39" s="769"/>
      <c r="G39" s="770" t="s">
        <v>1137</v>
      </c>
      <c r="H39" s="770" t="s">
        <v>1136</v>
      </c>
      <c r="I39" s="770" t="s">
        <v>1135</v>
      </c>
      <c r="M39" s="1269"/>
      <c r="N39" s="1269"/>
      <c r="P39" s="1269"/>
      <c r="Q39" s="1269"/>
    </row>
    <row r="40" spans="2:17">
      <c r="B40" s="758" t="s">
        <v>100</v>
      </c>
      <c r="C40" s="771" t="s">
        <v>427</v>
      </c>
      <c r="D40" s="772"/>
      <c r="E40" s="772"/>
      <c r="F40" s="772"/>
      <c r="G40" s="80">
        <v>2</v>
      </c>
      <c r="H40" s="80"/>
      <c r="I40" s="80"/>
      <c r="M40" s="777"/>
      <c r="N40" s="778"/>
      <c r="O40" s="778"/>
      <c r="P40" s="777"/>
      <c r="Q40" s="778"/>
    </row>
    <row r="41" spans="2:17">
      <c r="B41" s="774" t="s">
        <v>102</v>
      </c>
      <c r="C41" s="775" t="s">
        <v>426</v>
      </c>
      <c r="D41" s="776"/>
      <c r="E41" s="776"/>
      <c r="F41" s="776"/>
      <c r="G41" s="63">
        <v>63.88</v>
      </c>
      <c r="H41" s="63"/>
      <c r="I41" s="63"/>
      <c r="M41" s="777"/>
      <c r="N41" s="778"/>
      <c r="O41" s="778"/>
      <c r="P41" s="777"/>
      <c r="Q41" s="778"/>
    </row>
    <row r="42" spans="2:17" ht="11.25" customHeight="1">
      <c r="B42" s="758" t="s">
        <v>103</v>
      </c>
      <c r="C42" s="771" t="s">
        <v>604</v>
      </c>
      <c r="D42" s="772"/>
      <c r="E42" s="772"/>
      <c r="F42" s="772"/>
      <c r="G42" s="83">
        <v>63.88</v>
      </c>
      <c r="H42" s="83"/>
      <c r="I42" s="82"/>
      <c r="M42" s="773"/>
      <c r="N42" s="773"/>
      <c r="P42" s="773"/>
      <c r="Q42" s="773"/>
    </row>
    <row r="43" spans="2:17">
      <c r="B43" s="758" t="s">
        <v>104</v>
      </c>
      <c r="C43" s="775" t="s">
        <v>428</v>
      </c>
      <c r="D43" s="776"/>
      <c r="E43" s="776"/>
      <c r="F43" s="776"/>
      <c r="G43" s="63">
        <v>0</v>
      </c>
      <c r="H43" s="63"/>
      <c r="I43" s="63"/>
      <c r="M43" s="777"/>
      <c r="N43" s="778"/>
      <c r="O43" s="778"/>
      <c r="P43" s="777"/>
      <c r="Q43" s="778"/>
    </row>
    <row r="44" spans="2:17">
      <c r="B44" s="758" t="s">
        <v>105</v>
      </c>
      <c r="C44" s="771" t="s">
        <v>429</v>
      </c>
      <c r="D44" s="772"/>
      <c r="E44" s="772"/>
      <c r="F44" s="772"/>
      <c r="G44" s="80">
        <v>0</v>
      </c>
      <c r="H44" s="80"/>
      <c r="I44" s="80"/>
      <c r="M44" s="777"/>
      <c r="N44" s="778"/>
      <c r="O44" s="778"/>
      <c r="P44" s="777"/>
      <c r="Q44" s="778"/>
    </row>
    <row r="45" spans="2:17">
      <c r="B45" s="758" t="s">
        <v>106</v>
      </c>
      <c r="C45" s="775" t="s">
        <v>430</v>
      </c>
      <c r="D45" s="776"/>
      <c r="E45" s="776"/>
      <c r="F45" s="776"/>
      <c r="G45" s="63">
        <v>0</v>
      </c>
      <c r="H45" s="63"/>
      <c r="I45" s="63"/>
      <c r="M45" s="777"/>
      <c r="N45" s="778"/>
      <c r="O45" s="778"/>
      <c r="P45" s="777"/>
      <c r="Q45" s="778"/>
    </row>
    <row r="46" spans="2:17">
      <c r="B46" s="758" t="s">
        <v>107</v>
      </c>
      <c r="C46" s="771" t="s">
        <v>431</v>
      </c>
      <c r="D46" s="772"/>
      <c r="E46" s="772"/>
      <c r="F46" s="772"/>
      <c r="G46" s="80">
        <v>0</v>
      </c>
      <c r="H46" s="80"/>
      <c r="I46" s="80"/>
      <c r="M46" s="777"/>
      <c r="N46" s="778"/>
      <c r="O46" s="778"/>
      <c r="P46" s="777"/>
      <c r="Q46" s="778"/>
    </row>
    <row r="47" spans="2:17">
      <c r="B47" s="758" t="s">
        <v>108</v>
      </c>
      <c r="C47" s="775" t="s">
        <v>432</v>
      </c>
      <c r="D47" s="776"/>
      <c r="E47" s="776"/>
      <c r="F47" s="776"/>
      <c r="G47" s="63">
        <v>0</v>
      </c>
      <c r="H47" s="63"/>
      <c r="I47" s="63"/>
      <c r="M47" s="777"/>
      <c r="N47" s="778"/>
      <c r="O47" s="778"/>
      <c r="P47" s="777"/>
      <c r="Q47" s="778"/>
    </row>
    <row r="48" spans="2:17">
      <c r="B48" s="758" t="s">
        <v>109</v>
      </c>
      <c r="C48" s="771" t="s">
        <v>433</v>
      </c>
      <c r="D48" s="772"/>
      <c r="E48" s="772"/>
      <c r="F48" s="772"/>
      <c r="G48" s="80">
        <v>0</v>
      </c>
      <c r="H48" s="80"/>
      <c r="I48" s="80"/>
      <c r="M48" s="777"/>
      <c r="N48" s="778"/>
      <c r="O48" s="778"/>
      <c r="P48" s="777"/>
      <c r="Q48" s="778"/>
    </row>
    <row r="49" spans="1:18">
      <c r="B49" s="758" t="s">
        <v>110</v>
      </c>
      <c r="C49" s="775" t="s">
        <v>434</v>
      </c>
      <c r="D49" s="776"/>
      <c r="E49" s="776"/>
      <c r="F49" s="776"/>
      <c r="G49" s="63">
        <v>0</v>
      </c>
      <c r="H49" s="63"/>
      <c r="I49" s="63"/>
      <c r="M49" s="777"/>
      <c r="N49" s="778"/>
      <c r="O49" s="778"/>
      <c r="P49" s="777"/>
      <c r="Q49" s="778"/>
    </row>
    <row r="50" spans="1:18">
      <c r="B50" s="758" t="s">
        <v>111</v>
      </c>
      <c r="C50" s="771" t="s">
        <v>435</v>
      </c>
      <c r="D50" s="772"/>
      <c r="E50" s="772"/>
      <c r="F50" s="772"/>
      <c r="G50" s="80">
        <v>33.76</v>
      </c>
      <c r="H50" s="80"/>
      <c r="I50" s="80"/>
      <c r="J50" s="779" t="s">
        <v>436</v>
      </c>
      <c r="M50" s="777"/>
      <c r="N50" s="778"/>
      <c r="O50" s="778"/>
      <c r="P50" s="777"/>
      <c r="Q50" s="778"/>
    </row>
    <row r="51" spans="1:18">
      <c r="B51" s="758" t="s">
        <v>112</v>
      </c>
      <c r="C51" s="775" t="s">
        <v>437</v>
      </c>
      <c r="D51" s="776"/>
      <c r="E51" s="776"/>
      <c r="F51" s="776"/>
      <c r="G51" s="63">
        <v>0</v>
      </c>
      <c r="H51" s="63"/>
      <c r="I51" s="63"/>
      <c r="M51" s="777"/>
      <c r="N51" s="778"/>
      <c r="O51" s="778"/>
      <c r="P51" s="777"/>
      <c r="Q51" s="778"/>
    </row>
    <row r="52" spans="1:18">
      <c r="B52" s="758" t="s">
        <v>113</v>
      </c>
      <c r="C52" s="771" t="s">
        <v>438</v>
      </c>
      <c r="D52" s="772"/>
      <c r="E52" s="772"/>
      <c r="F52" s="772"/>
      <c r="G52" s="80">
        <v>0</v>
      </c>
      <c r="H52" s="80"/>
      <c r="I52" s="80"/>
      <c r="M52" s="777"/>
      <c r="N52" s="778"/>
      <c r="O52" s="778"/>
      <c r="P52" s="777"/>
      <c r="Q52" s="778"/>
    </row>
    <row r="53" spans="1:18">
      <c r="B53" s="758" t="s">
        <v>114</v>
      </c>
      <c r="C53" s="775" t="s">
        <v>439</v>
      </c>
      <c r="D53" s="780"/>
      <c r="E53" s="780"/>
      <c r="F53" s="776"/>
      <c r="G53" s="84">
        <v>0</v>
      </c>
      <c r="H53" s="84"/>
      <c r="I53" s="84"/>
    </row>
    <row r="54" spans="1:18">
      <c r="B54" s="758" t="s">
        <v>115</v>
      </c>
      <c r="C54" s="771" t="s">
        <v>441</v>
      </c>
      <c r="D54" s="772"/>
      <c r="E54" s="772"/>
      <c r="F54" s="772"/>
      <c r="G54" s="80">
        <v>127.1816</v>
      </c>
      <c r="H54" s="80"/>
      <c r="I54" s="80"/>
      <c r="J54" s="784"/>
      <c r="M54" s="777"/>
      <c r="N54" s="778"/>
      <c r="O54" s="778"/>
      <c r="P54" s="777"/>
      <c r="Q54" s="778"/>
    </row>
    <row r="55" spans="1:18">
      <c r="B55" s="758" t="s">
        <v>116</v>
      </c>
      <c r="C55" s="782" t="s">
        <v>440</v>
      </c>
      <c r="D55" s="783"/>
      <c r="E55" s="783"/>
      <c r="F55" s="783"/>
      <c r="G55" s="95">
        <v>0</v>
      </c>
      <c r="H55" s="95"/>
      <c r="I55" s="95"/>
      <c r="M55" s="777"/>
      <c r="N55" s="778"/>
      <c r="O55" s="778"/>
      <c r="P55" s="777"/>
      <c r="Q55" s="778"/>
    </row>
    <row r="56" spans="1:18" ht="11.25" customHeight="1">
      <c r="B56" s="785" t="s">
        <v>117</v>
      </c>
      <c r="C56" s="786" t="s">
        <v>1138</v>
      </c>
      <c r="D56" s="781"/>
      <c r="E56" s="781"/>
      <c r="F56" s="781"/>
      <c r="G56" s="787">
        <f>SUM(G40:G55)</f>
        <v>290.70159999999998</v>
      </c>
      <c r="H56" s="787">
        <f>SUM(H40:H55)</f>
        <v>0</v>
      </c>
      <c r="I56" s="787">
        <f>SUM(I40:I55)</f>
        <v>0</v>
      </c>
      <c r="J56" s="788"/>
      <c r="K56" s="789"/>
      <c r="L56" s="789"/>
      <c r="M56" s="778"/>
      <c r="N56" s="778"/>
      <c r="O56" s="778"/>
      <c r="P56" s="778"/>
      <c r="Q56" s="778"/>
      <c r="R56" s="778"/>
    </row>
    <row r="57" spans="1:18" ht="32.25" customHeight="1">
      <c r="A57" s="310" t="s">
        <v>442</v>
      </c>
    </row>
    <row r="58" spans="1:18" ht="15.75" customHeight="1" thickBot="1">
      <c r="C58" s="96" t="s">
        <v>420</v>
      </c>
      <c r="D58" s="790" t="s">
        <v>421</v>
      </c>
    </row>
    <row r="59" spans="1:18" ht="12.75" customHeight="1" thickBot="1">
      <c r="A59" s="310"/>
      <c r="B59" s="758" t="s">
        <v>6</v>
      </c>
      <c r="C59" s="58"/>
      <c r="D59" s="58"/>
      <c r="E59" s="1844" t="s">
        <v>443</v>
      </c>
      <c r="F59" s="1582"/>
      <c r="G59" s="1582"/>
      <c r="H59" s="1582"/>
      <c r="I59" s="1582"/>
      <c r="J59" s="1582"/>
      <c r="K59" s="1582"/>
    </row>
    <row r="60" spans="1:18" ht="12" customHeight="1" thickBot="1">
      <c r="A60" s="310"/>
    </row>
    <row r="61" spans="1:18" hidden="1"/>
    <row r="62" spans="1:18" ht="12.6" hidden="1" thickBot="1"/>
    <row r="63" spans="1:18" ht="12.6" thickBot="1">
      <c r="B63" s="758" t="s">
        <v>8</v>
      </c>
      <c r="C63" s="58"/>
      <c r="E63" s="96" t="s">
        <v>444</v>
      </c>
    </row>
    <row r="65" spans="1:16">
      <c r="B65" s="758" t="s">
        <v>22</v>
      </c>
      <c r="C65" s="96" t="s">
        <v>1280</v>
      </c>
      <c r="K65" s="1263"/>
      <c r="L65" s="791">
        <f>BSA55BLA</f>
        <v>5215.53</v>
      </c>
      <c r="P65" s="789"/>
    </row>
    <row r="66" spans="1:16" ht="22.5" customHeight="1">
      <c r="B66" s="758" t="s">
        <v>40</v>
      </c>
      <c r="C66" s="1858" t="s">
        <v>1281</v>
      </c>
      <c r="D66" s="1859"/>
      <c r="E66" s="1859"/>
      <c r="F66" s="1859"/>
      <c r="G66" s="1859"/>
      <c r="H66" s="1859"/>
      <c r="I66" s="1859"/>
      <c r="J66" s="1859"/>
      <c r="K66" s="1860"/>
      <c r="L66" s="63">
        <v>1</v>
      </c>
    </row>
    <row r="67" spans="1:16">
      <c r="B67" s="758" t="s">
        <v>98</v>
      </c>
      <c r="C67" s="794" t="s">
        <v>1282</v>
      </c>
      <c r="D67" s="772"/>
      <c r="E67" s="772"/>
      <c r="F67" s="772"/>
      <c r="G67" s="772"/>
      <c r="H67" s="772"/>
      <c r="I67" s="772"/>
      <c r="J67" s="772"/>
      <c r="K67" s="795"/>
      <c r="L67" s="65">
        <v>7250</v>
      </c>
    </row>
    <row r="68" spans="1:16">
      <c r="B68" s="758" t="s">
        <v>99</v>
      </c>
      <c r="C68" s="1197" t="s">
        <v>1283</v>
      </c>
      <c r="D68" s="1198"/>
      <c r="E68" s="1198"/>
      <c r="F68" s="776"/>
      <c r="G68" s="776"/>
      <c r="H68" s="776"/>
      <c r="I68" s="776"/>
      <c r="J68" s="776"/>
      <c r="K68" s="793"/>
      <c r="L68" s="64">
        <v>0</v>
      </c>
    </row>
    <row r="69" spans="1:16">
      <c r="B69" s="797" t="s">
        <v>100</v>
      </c>
      <c r="C69" s="794" t="s">
        <v>1284</v>
      </c>
      <c r="D69" s="772"/>
      <c r="E69" s="772"/>
      <c r="F69" s="772"/>
      <c r="G69" s="772"/>
      <c r="H69" s="772"/>
      <c r="I69" s="772"/>
      <c r="J69" s="772"/>
      <c r="K69" s="798"/>
      <c r="L69" s="796">
        <f>L67+L68</f>
        <v>7250</v>
      </c>
    </row>
    <row r="71" spans="1:16" ht="21" customHeight="1">
      <c r="A71" s="1142" t="s">
        <v>445</v>
      </c>
      <c r="C71" s="309"/>
      <c r="M71"/>
      <c r="N71"/>
      <c r="O71"/>
      <c r="P71"/>
    </row>
    <row r="72" spans="1:16" ht="12" customHeight="1">
      <c r="B72" s="758" t="s">
        <v>6</v>
      </c>
      <c r="C72" s="771" t="s">
        <v>1285</v>
      </c>
      <c r="D72" s="799"/>
      <c r="E72" s="799"/>
      <c r="F72" s="799"/>
      <c r="G72" s="772"/>
      <c r="H72" s="772"/>
      <c r="I72" s="772"/>
      <c r="J72" s="772"/>
      <c r="K72" s="795"/>
      <c r="L72" s="60">
        <v>871</v>
      </c>
      <c r="M72"/>
      <c r="N72"/>
      <c r="O72"/>
      <c r="P72"/>
    </row>
    <row r="73" spans="1:16" ht="12" customHeight="1">
      <c r="B73" s="758" t="s">
        <v>8</v>
      </c>
      <c r="C73" s="1199" t="s">
        <v>1286</v>
      </c>
      <c r="D73" s="1149"/>
      <c r="E73" s="1149"/>
      <c r="F73" s="1149"/>
      <c r="G73" s="776"/>
      <c r="H73" s="776"/>
      <c r="I73" s="776"/>
      <c r="J73" s="776"/>
      <c r="K73" s="793"/>
      <c r="L73" s="62">
        <v>118</v>
      </c>
      <c r="M73"/>
      <c r="N73"/>
      <c r="O73"/>
      <c r="P73"/>
    </row>
    <row r="74" spans="1:16" ht="12" customHeight="1">
      <c r="B74" s="758" t="s">
        <v>22</v>
      </c>
      <c r="C74" s="1841" t="s">
        <v>1287</v>
      </c>
      <c r="D74" s="1842"/>
      <c r="E74" s="1842"/>
      <c r="F74" s="1842"/>
      <c r="G74" s="772"/>
      <c r="H74" s="772"/>
      <c r="I74" s="772"/>
      <c r="J74" s="772"/>
      <c r="K74" s="795"/>
      <c r="L74" s="65">
        <v>0</v>
      </c>
      <c r="M74"/>
      <c r="N74"/>
      <c r="O74"/>
      <c r="P74"/>
    </row>
    <row r="75" spans="1:16" ht="12" customHeight="1">
      <c r="B75" s="758" t="s">
        <v>40</v>
      </c>
      <c r="C75" s="1199" t="s">
        <v>1288</v>
      </c>
      <c r="D75" s="1149"/>
      <c r="E75" s="1149"/>
      <c r="F75" s="1149"/>
      <c r="G75" s="776"/>
      <c r="H75" s="776"/>
      <c r="I75" s="776"/>
      <c r="J75" s="776"/>
      <c r="K75" s="793"/>
      <c r="L75" s="64">
        <v>0</v>
      </c>
      <c r="M75"/>
      <c r="N75"/>
      <c r="O75"/>
      <c r="P75"/>
    </row>
    <row r="76" spans="1:16" ht="12" customHeight="1">
      <c r="B76" s="758" t="s">
        <v>98</v>
      </c>
      <c r="C76" s="771" t="s">
        <v>1289</v>
      </c>
      <c r="D76" s="799"/>
      <c r="E76" s="799"/>
      <c r="F76" s="799"/>
      <c r="G76" s="799"/>
      <c r="H76" s="799"/>
      <c r="I76" s="799"/>
      <c r="J76" s="799"/>
      <c r="K76" s="795"/>
      <c r="L76" s="60">
        <v>0</v>
      </c>
      <c r="M76"/>
      <c r="N76"/>
      <c r="O76"/>
      <c r="P76"/>
    </row>
    <row r="77" spans="1:16" ht="12" customHeight="1">
      <c r="B77" s="207" t="s">
        <v>99</v>
      </c>
      <c r="C77" s="1199" t="s">
        <v>1290</v>
      </c>
      <c r="D77" s="1149"/>
      <c r="E77" s="1149"/>
      <c r="F77" s="1149"/>
      <c r="G77" s="776"/>
      <c r="H77" s="776"/>
      <c r="I77" s="776"/>
      <c r="J77" s="776"/>
      <c r="K77" s="793"/>
      <c r="L77" s="62">
        <v>0</v>
      </c>
      <c r="M77"/>
      <c r="N77"/>
      <c r="O77"/>
      <c r="P77"/>
    </row>
    <row r="78" spans="1:16" ht="14.25" customHeight="1">
      <c r="B78" s="207"/>
      <c r="K78" s="1263"/>
      <c r="L78" s="778"/>
      <c r="M78"/>
      <c r="N78"/>
      <c r="O78"/>
      <c r="P78"/>
    </row>
    <row r="79" spans="1:16" ht="21.75" customHeight="1">
      <c r="A79" s="1143" t="s">
        <v>446</v>
      </c>
      <c r="C79" s="310"/>
    </row>
    <row r="80" spans="1:16">
      <c r="B80" s="758" t="s">
        <v>6</v>
      </c>
      <c r="C80" s="96" t="s">
        <v>447</v>
      </c>
    </row>
    <row r="81" spans="2:27">
      <c r="B81" s="801"/>
      <c r="C81" s="802" t="s">
        <v>376</v>
      </c>
      <c r="D81" s="803" t="s">
        <v>419</v>
      </c>
      <c r="E81" s="772"/>
      <c r="F81" s="772"/>
      <c r="G81" s="772"/>
      <c r="H81" s="772"/>
      <c r="I81" s="795"/>
      <c r="J81" s="804"/>
      <c r="K81" s="798"/>
      <c r="L81" s="65"/>
      <c r="M81" s="177"/>
      <c r="N81" s="805"/>
    </row>
    <row r="82" spans="2:27">
      <c r="B82" s="801"/>
      <c r="C82" s="96" t="s">
        <v>377</v>
      </c>
      <c r="D82" s="806" t="s">
        <v>420</v>
      </c>
      <c r="E82" s="776"/>
      <c r="F82" s="776"/>
      <c r="G82" s="776"/>
      <c r="H82" s="776"/>
      <c r="I82" s="793"/>
      <c r="J82" s="807"/>
      <c r="K82" s="808"/>
      <c r="L82" s="66"/>
      <c r="M82" s="177"/>
      <c r="N82" s="805"/>
    </row>
    <row r="83" spans="2:27">
      <c r="B83" s="801"/>
      <c r="C83" s="96" t="s">
        <v>378</v>
      </c>
      <c r="D83" s="809" t="s">
        <v>421</v>
      </c>
      <c r="E83" s="772"/>
      <c r="F83" s="772"/>
      <c r="G83" s="772"/>
      <c r="H83" s="772"/>
      <c r="I83" s="795"/>
      <c r="J83" s="804"/>
      <c r="K83" s="798"/>
      <c r="L83" s="67"/>
      <c r="M83" s="177"/>
      <c r="N83" s="805"/>
    </row>
    <row r="84" spans="2:27" hidden="1">
      <c r="L84" s="14"/>
    </row>
    <row r="85" spans="2:27" hidden="1">
      <c r="L85" s="14"/>
    </row>
    <row r="86" spans="2:27" ht="13.5" customHeight="1">
      <c r="B86" s="758" t="s">
        <v>8</v>
      </c>
      <c r="C86" s="1063" t="s">
        <v>448</v>
      </c>
      <c r="D86" s="1064"/>
      <c r="E86" s="1064"/>
      <c r="F86" s="1064"/>
      <c r="G86" s="1064"/>
      <c r="H86" s="1064"/>
      <c r="I86" s="1064"/>
      <c r="J86" s="780"/>
      <c r="K86" s="1065"/>
      <c r="L86" s="64"/>
    </row>
    <row r="87" spans="2:27">
      <c r="B87" s="758" t="s">
        <v>22</v>
      </c>
      <c r="C87" s="803" t="s">
        <v>449</v>
      </c>
      <c r="D87" s="810"/>
      <c r="E87" s="810"/>
      <c r="F87" s="810"/>
      <c r="G87" s="810"/>
      <c r="H87" s="810"/>
      <c r="I87" s="810"/>
      <c r="J87" s="772"/>
      <c r="K87" s="798"/>
      <c r="L87" s="65"/>
      <c r="N87" s="805"/>
    </row>
    <row r="88" spans="2:27">
      <c r="B88" s="1440" t="s">
        <v>40</v>
      </c>
      <c r="C88" s="1197" t="s">
        <v>1139</v>
      </c>
      <c r="D88" s="1198"/>
      <c r="E88" s="1198"/>
      <c r="F88" s="776"/>
      <c r="G88" s="776"/>
      <c r="H88" s="776"/>
      <c r="I88" s="776"/>
      <c r="J88" s="776"/>
      <c r="K88" s="793"/>
      <c r="L88" s="1075"/>
      <c r="N88" s="805"/>
    </row>
    <row r="89" spans="2:27">
      <c r="B89" s="1440" t="s">
        <v>98</v>
      </c>
      <c r="C89" s="1837" t="s">
        <v>1140</v>
      </c>
      <c r="D89" s="1837"/>
      <c r="E89" s="1837"/>
      <c r="F89" s="1837"/>
      <c r="G89" s="1837"/>
      <c r="H89" s="1837"/>
      <c r="I89" s="1837"/>
      <c r="J89" s="1837"/>
      <c r="K89" s="1837"/>
      <c r="L89" s="65"/>
      <c r="N89" s="805"/>
    </row>
    <row r="90" spans="2:27">
      <c r="B90" s="758" t="s">
        <v>99</v>
      </c>
      <c r="C90" s="1838" t="s">
        <v>1141</v>
      </c>
      <c r="D90" s="1839"/>
      <c r="E90" s="1839"/>
      <c r="F90" s="1839"/>
      <c r="G90" s="1839"/>
      <c r="H90" s="1839"/>
      <c r="I90" s="1839"/>
      <c r="J90" s="1839"/>
      <c r="K90" s="1840"/>
      <c r="L90" s="1076"/>
      <c r="N90" s="805"/>
      <c r="AA90" s="1078" t="str">
        <f>IF((AND(L90&lt;&gt;"",C90="Other BSL Adjustment 1")),"Yes","")</f>
        <v/>
      </c>
    </row>
    <row r="91" spans="2:27">
      <c r="B91" s="758" t="s">
        <v>100</v>
      </c>
      <c r="C91" s="1820" t="s">
        <v>1142</v>
      </c>
      <c r="D91" s="1821"/>
      <c r="E91" s="1821"/>
      <c r="F91" s="1821"/>
      <c r="G91" s="1821"/>
      <c r="H91" s="1821"/>
      <c r="I91" s="1821"/>
      <c r="J91" s="1821"/>
      <c r="K91" s="1821"/>
      <c r="L91" s="65"/>
      <c r="N91" s="805"/>
      <c r="AA91" s="96" t="str">
        <f>IF((AND(L91&lt;&gt;"",C91="Other BSL Adjustment 2")),"Yes","")</f>
        <v/>
      </c>
    </row>
    <row r="92" spans="2:27">
      <c r="B92" s="811"/>
      <c r="C92" s="1"/>
      <c r="D92" s="1"/>
      <c r="E92" s="1"/>
      <c r="F92" s="1"/>
      <c r="G92" s="1"/>
      <c r="H92" s="1"/>
      <c r="I92" s="1"/>
      <c r="K92" s="1263"/>
      <c r="M92" s="175"/>
      <c r="N92" s="805"/>
    </row>
    <row r="93" spans="2:27" ht="15.75" customHeight="1">
      <c r="B93" s="1144" t="s">
        <v>450</v>
      </c>
      <c r="C93" s="119"/>
      <c r="D93" s="119"/>
      <c r="E93" s="119"/>
      <c r="F93" s="119"/>
      <c r="J93" s="1263"/>
      <c r="K93" s="1263"/>
      <c r="L93" s="805"/>
      <c r="M93" s="175"/>
      <c r="N93" s="805"/>
    </row>
    <row r="94" spans="2:27">
      <c r="B94" s="1253" t="s">
        <v>102</v>
      </c>
      <c r="C94" s="1197" t="s">
        <v>1291</v>
      </c>
      <c r="D94" s="1198"/>
      <c r="E94" s="1198"/>
      <c r="F94" s="776"/>
      <c r="G94" s="776"/>
      <c r="H94" s="776"/>
      <c r="I94" s="776"/>
      <c r="J94" s="776"/>
      <c r="K94" s="793"/>
      <c r="L94" s="85">
        <v>0</v>
      </c>
      <c r="M94" s="175"/>
      <c r="N94" s="805"/>
    </row>
    <row r="95" spans="2:27" ht="14.4">
      <c r="B95" s="1440" t="s">
        <v>103</v>
      </c>
      <c r="C95" s="794" t="s">
        <v>1292</v>
      </c>
      <c r="D95" s="772"/>
      <c r="E95" s="772"/>
      <c r="F95" s="772"/>
      <c r="G95" s="772"/>
      <c r="H95" s="772"/>
      <c r="I95" s="772"/>
      <c r="J95" s="772"/>
      <c r="K95" s="795"/>
      <c r="L95" s="86"/>
      <c r="M95" s="1828" t="str">
        <f>IF(AND(_PAV2&gt;0,P95&lt;&gt;"X"),"If the amount shown for Primary Assessed Valuation 2 (AV2) on page 6 of the District's most recent BSA 55-1 report from ADE is greater than 0, mark X in cell P95.","")</f>
        <v/>
      </c>
      <c r="N95" s="1829"/>
      <c r="O95" s="1829"/>
      <c r="P95" s="302"/>
      <c r="Q95" s="813"/>
      <c r="R95" s="813"/>
      <c r="S95" s="813"/>
      <c r="T95" s="813"/>
      <c r="U95" s="813"/>
      <c r="V95" s="813"/>
      <c r="W95" s="813"/>
      <c r="X95" s="813"/>
      <c r="Y95" s="813"/>
      <c r="Z95" s="813"/>
      <c r="AA95" s="813"/>
    </row>
    <row r="96" spans="2:27">
      <c r="B96" s="1253" t="s">
        <v>104</v>
      </c>
      <c r="C96" s="1197" t="s">
        <v>1293</v>
      </c>
      <c r="D96" s="1198"/>
      <c r="E96" s="1198"/>
      <c r="F96" s="1198"/>
      <c r="G96" s="776"/>
      <c r="H96" s="776"/>
      <c r="I96" s="776"/>
      <c r="J96" s="776"/>
      <c r="K96" s="793"/>
      <c r="L96" s="85"/>
      <c r="M96" s="1828"/>
      <c r="N96" s="1829"/>
      <c r="O96" s="1829"/>
    </row>
    <row r="97" spans="2:15">
      <c r="B97" s="1253" t="s">
        <v>105</v>
      </c>
      <c r="C97" s="794" t="s">
        <v>1294</v>
      </c>
      <c r="D97" s="772"/>
      <c r="E97" s="772"/>
      <c r="F97" s="772"/>
      <c r="G97" s="772"/>
      <c r="H97" s="772"/>
      <c r="I97" s="772"/>
      <c r="J97" s="772"/>
      <c r="K97" s="795"/>
      <c r="L97" s="86"/>
      <c r="M97" s="1828"/>
      <c r="N97" s="1829"/>
      <c r="O97" s="1829"/>
    </row>
    <row r="98" spans="2:15" ht="12" customHeight="1">
      <c r="B98" s="207"/>
      <c r="K98" s="1263"/>
      <c r="L98" s="1265"/>
      <c r="M98" s="175"/>
      <c r="N98" s="805"/>
    </row>
    <row r="99" spans="2:15" ht="15.75" customHeight="1">
      <c r="B99" s="1144" t="s">
        <v>451</v>
      </c>
      <c r="C99" s="119"/>
      <c r="D99" s="119"/>
      <c r="E99" s="119"/>
      <c r="F99" s="119"/>
      <c r="G99" s="119"/>
      <c r="K99" s="1263"/>
      <c r="L99" s="1265"/>
      <c r="M99" s="175"/>
      <c r="N99" s="805"/>
    </row>
    <row r="100" spans="2:15">
      <c r="B100" s="1440" t="s">
        <v>106</v>
      </c>
      <c r="C100" s="1197" t="s">
        <v>1295</v>
      </c>
      <c r="D100" s="1198"/>
      <c r="E100" s="1198"/>
      <c r="F100" s="776"/>
      <c r="G100" s="776"/>
      <c r="H100" s="776"/>
      <c r="I100" s="776"/>
      <c r="J100" s="776"/>
      <c r="K100" s="793"/>
      <c r="L100" s="64"/>
      <c r="M100" s="175"/>
      <c r="N100" s="805"/>
    </row>
    <row r="101" spans="2:15">
      <c r="B101" s="1440" t="s">
        <v>107</v>
      </c>
      <c r="C101" s="794" t="s">
        <v>1253</v>
      </c>
      <c r="D101" s="772"/>
      <c r="E101" s="772"/>
      <c r="F101" s="772"/>
      <c r="G101" s="772"/>
      <c r="H101" s="772"/>
      <c r="I101" s="772"/>
      <c r="J101" s="772"/>
      <c r="K101" s="798"/>
      <c r="L101" s="65">
        <v>5911303</v>
      </c>
      <c r="M101" s="175"/>
      <c r="N101" s="805"/>
    </row>
    <row r="102" spans="2:15">
      <c r="B102" s="1253" t="s">
        <v>108</v>
      </c>
      <c r="C102" s="1197" t="s">
        <v>1296</v>
      </c>
      <c r="D102" s="1198"/>
      <c r="E102" s="1198"/>
      <c r="F102" s="1198"/>
      <c r="G102" s="776"/>
      <c r="H102" s="776"/>
      <c r="I102" s="776"/>
      <c r="J102" s="776"/>
      <c r="K102" s="793"/>
      <c r="L102" s="1368"/>
      <c r="M102" s="175"/>
      <c r="N102" s="805"/>
    </row>
    <row r="103" spans="2:15">
      <c r="C103" s="1263" t="s">
        <v>376</v>
      </c>
      <c r="D103" s="872" t="s">
        <v>1143</v>
      </c>
      <c r="E103" s="334"/>
      <c r="F103" s="334"/>
      <c r="G103" s="334"/>
      <c r="H103" s="334"/>
      <c r="I103" s="334"/>
      <c r="J103" s="334"/>
      <c r="K103" s="1367"/>
      <c r="L103" s="67"/>
      <c r="M103" s="177"/>
      <c r="N103" s="805"/>
    </row>
    <row r="104" spans="2:15">
      <c r="C104" s="1263" t="s">
        <v>377</v>
      </c>
      <c r="D104" s="792" t="s">
        <v>452</v>
      </c>
      <c r="E104" s="776"/>
      <c r="F104" s="776"/>
      <c r="G104" s="776"/>
      <c r="H104" s="776"/>
      <c r="I104" s="776"/>
      <c r="J104" s="776"/>
      <c r="K104" s="793"/>
      <c r="L104" s="64"/>
      <c r="M104" s="177"/>
      <c r="N104" s="805"/>
    </row>
    <row r="105" spans="2:15">
      <c r="B105" s="207"/>
      <c r="C105" s="191" t="s">
        <v>378</v>
      </c>
      <c r="D105" s="792" t="s">
        <v>453</v>
      </c>
      <c r="E105" s="776"/>
      <c r="F105" s="776"/>
      <c r="G105" s="776"/>
      <c r="H105" s="776"/>
      <c r="I105" s="776"/>
      <c r="J105" s="776"/>
      <c r="K105" s="793"/>
      <c r="L105" s="64"/>
      <c r="M105" s="177"/>
      <c r="N105" s="805"/>
    </row>
    <row r="106" spans="2:15">
      <c r="B106" s="207"/>
      <c r="C106" s="191" t="s">
        <v>454</v>
      </c>
      <c r="D106" s="794" t="s">
        <v>1144</v>
      </c>
      <c r="E106" s="772"/>
      <c r="F106" s="772"/>
      <c r="G106" s="772"/>
      <c r="H106" s="772"/>
      <c r="I106" s="772"/>
      <c r="J106" s="772"/>
      <c r="K106" s="795"/>
      <c r="L106" s="65"/>
      <c r="M106" s="177"/>
      <c r="N106" s="805"/>
    </row>
    <row r="107" spans="2:15">
      <c r="B107" s="207"/>
      <c r="C107" s="1440" t="s">
        <v>489</v>
      </c>
      <c r="D107" s="815" t="s">
        <v>455</v>
      </c>
      <c r="E107" s="816"/>
      <c r="F107" s="816"/>
      <c r="G107" s="816"/>
      <c r="H107" s="816"/>
      <c r="I107" s="816"/>
      <c r="J107" s="816"/>
      <c r="K107" s="817"/>
      <c r="L107" s="77"/>
      <c r="M107" s="177"/>
      <c r="N107" s="805"/>
    </row>
    <row r="108" spans="2:15">
      <c r="B108" s="1253" t="s">
        <v>109</v>
      </c>
      <c r="C108" s="794" t="s">
        <v>1145</v>
      </c>
      <c r="D108" s="772"/>
      <c r="E108" s="772"/>
      <c r="F108" s="772"/>
      <c r="G108" s="772"/>
      <c r="H108" s="772"/>
      <c r="I108" s="772"/>
      <c r="J108" s="772"/>
      <c r="K108" s="795"/>
      <c r="L108" s="65"/>
      <c r="M108" s="175"/>
      <c r="N108" s="805"/>
    </row>
    <row r="109" spans="2:15" ht="12.75" customHeight="1">
      <c r="B109" s="207"/>
      <c r="K109" s="1263"/>
      <c r="L109" s="805"/>
      <c r="M109" s="175"/>
      <c r="N109" s="805"/>
    </row>
    <row r="110" spans="2:15" ht="15.75" customHeight="1">
      <c r="B110" s="818" t="s">
        <v>1146</v>
      </c>
      <c r="C110" s="119"/>
      <c r="D110" s="119"/>
      <c r="E110" s="119"/>
      <c r="F110" s="119"/>
      <c r="G110" s="119"/>
      <c r="H110" s="119"/>
      <c r="K110" s="1263"/>
      <c r="L110" s="805"/>
      <c r="M110" s="175"/>
      <c r="N110" s="805"/>
    </row>
    <row r="111" spans="2:15">
      <c r="B111" s="1440" t="s">
        <v>110</v>
      </c>
      <c r="C111" s="1197" t="s">
        <v>1260</v>
      </c>
      <c r="D111" s="1198"/>
      <c r="E111" s="1198"/>
      <c r="F111" s="776"/>
      <c r="G111" s="776"/>
      <c r="H111" s="776"/>
      <c r="I111" s="776"/>
      <c r="J111" s="776"/>
      <c r="K111" s="808"/>
      <c r="L111" s="64"/>
      <c r="M111" s="175"/>
      <c r="N111" s="805"/>
    </row>
    <row r="112" spans="2:15" ht="11.25" customHeight="1">
      <c r="B112" s="1253" t="s">
        <v>111</v>
      </c>
      <c r="C112" s="794" t="s">
        <v>1261</v>
      </c>
      <c r="D112" s="772"/>
      <c r="E112" s="772"/>
      <c r="F112" s="772"/>
      <c r="G112" s="772"/>
      <c r="H112" s="772"/>
      <c r="I112" s="772"/>
      <c r="J112" s="772"/>
      <c r="K112" s="1148"/>
      <c r="L112" s="65"/>
      <c r="M112" s="175"/>
      <c r="N112" s="805"/>
    </row>
    <row r="113" spans="2:17" ht="11.25" customHeight="1">
      <c r="B113" s="1440" t="s">
        <v>112</v>
      </c>
      <c r="C113" s="1199" t="s">
        <v>1297</v>
      </c>
      <c r="D113" s="1149"/>
      <c r="E113" s="1149"/>
      <c r="F113" s="1149"/>
      <c r="G113" s="1149"/>
      <c r="H113" s="1149"/>
      <c r="I113" s="1149"/>
      <c r="J113" s="1149"/>
      <c r="K113" s="808"/>
      <c r="L113" s="64"/>
      <c r="M113" s="175"/>
      <c r="O113" s="805" t="s">
        <v>456</v>
      </c>
      <c r="Q113" s="796">
        <f>Calculations!O121</f>
        <v>0</v>
      </c>
    </row>
    <row r="114" spans="2:17" ht="11.25" customHeight="1">
      <c r="B114" s="1440" t="s">
        <v>113</v>
      </c>
      <c r="C114" s="771" t="s">
        <v>1263</v>
      </c>
      <c r="D114" s="799"/>
      <c r="E114" s="799"/>
      <c r="F114" s="799"/>
      <c r="G114" s="799"/>
      <c r="H114" s="799"/>
      <c r="I114" s="799"/>
      <c r="J114" s="799"/>
      <c r="K114" s="798"/>
      <c r="L114" s="65"/>
      <c r="M114" s="175"/>
      <c r="N114" s="805"/>
    </row>
    <row r="115" spans="2:17" ht="11.25" customHeight="1">
      <c r="B115" s="1253" t="s">
        <v>114</v>
      </c>
      <c r="C115" s="1197" t="s">
        <v>1264</v>
      </c>
      <c r="D115" s="1307"/>
      <c r="E115" s="1307"/>
      <c r="F115" s="820"/>
      <c r="G115" s="820"/>
      <c r="H115" s="820"/>
      <c r="I115" s="820"/>
      <c r="J115" s="820"/>
      <c r="K115" s="808"/>
      <c r="L115" s="64"/>
      <c r="M115" s="175"/>
      <c r="N115" s="805"/>
    </row>
    <row r="116" spans="2:17" ht="11.25" customHeight="1">
      <c r="B116" s="1077"/>
      <c r="D116" s="1301"/>
      <c r="E116" s="1301"/>
      <c r="F116" s="1301"/>
      <c r="G116" s="1301"/>
      <c r="H116" s="1301"/>
      <c r="I116" s="1301"/>
      <c r="J116" s="1301"/>
      <c r="K116" s="1263"/>
      <c r="L116" s="805"/>
      <c r="M116" s="175"/>
      <c r="N116" s="805"/>
    </row>
    <row r="117" spans="2:17" s="119" customFormat="1" ht="15.75" customHeight="1" thickBot="1">
      <c r="B117" s="818" t="s">
        <v>457</v>
      </c>
      <c r="D117" s="1268"/>
      <c r="E117" s="1268"/>
      <c r="F117" s="1268"/>
      <c r="G117" s="1268"/>
      <c r="H117" s="1268"/>
      <c r="I117" s="1268"/>
      <c r="J117" s="1268"/>
      <c r="K117" s="821"/>
      <c r="L117" s="822"/>
      <c r="M117" s="823"/>
      <c r="N117" s="822"/>
    </row>
    <row r="118" spans="2:17" ht="11.25" customHeight="1" thickBot="1">
      <c r="B118" s="1440" t="s">
        <v>115</v>
      </c>
      <c r="C118" s="59"/>
      <c r="D118" s="1301"/>
      <c r="E118" s="1691" t="s">
        <v>886</v>
      </c>
      <c r="F118" s="1691"/>
      <c r="G118" s="1691"/>
      <c r="H118" s="1691"/>
      <c r="I118" s="1691"/>
      <c r="J118" s="1691"/>
      <c r="K118" s="1832" t="str">
        <f>IF(AND(SSAPhaseDownCheckbox="X",SSAFYExceeded=""),"COMPLETE LINE 22 BELOW"," ")</f>
        <v xml:space="preserve"> </v>
      </c>
      <c r="L118" s="1832"/>
      <c r="M118" s="175"/>
      <c r="N118" s="805"/>
    </row>
    <row r="119" spans="2:17" ht="24" customHeight="1">
      <c r="B119" s="1441"/>
      <c r="C119" s="1346"/>
      <c r="D119" s="1301"/>
      <c r="E119" s="1691"/>
      <c r="F119" s="1691"/>
      <c r="G119" s="1691"/>
      <c r="H119" s="1691"/>
      <c r="I119" s="1691"/>
      <c r="J119" s="1691"/>
      <c r="K119" s="1832"/>
      <c r="L119" s="1832"/>
      <c r="M119" s="175"/>
      <c r="N119" s="805"/>
    </row>
    <row r="120" spans="2:17" ht="11.25" customHeight="1">
      <c r="B120" s="1077"/>
      <c r="D120" s="1301"/>
      <c r="E120" s="1"/>
      <c r="F120" s="1301"/>
      <c r="G120" s="1301"/>
      <c r="H120" s="1301"/>
      <c r="I120" s="1301"/>
      <c r="J120" s="1301"/>
      <c r="K120" s="1263"/>
      <c r="L120" s="805"/>
      <c r="M120" s="175"/>
      <c r="N120" s="805"/>
    </row>
    <row r="121" spans="2:17" ht="11.25" customHeight="1">
      <c r="B121" s="1440" t="s">
        <v>116</v>
      </c>
      <c r="C121" s="1830" t="s">
        <v>458</v>
      </c>
      <c r="D121" s="1831"/>
      <c r="E121" s="1831"/>
      <c r="F121" s="1831"/>
      <c r="G121" s="1831"/>
      <c r="H121" s="1831"/>
      <c r="I121" s="1831"/>
      <c r="J121" s="1831"/>
      <c r="K121" s="798" t="s">
        <v>3</v>
      </c>
      <c r="L121" s="74"/>
      <c r="M121" s="175"/>
      <c r="N121" s="805"/>
    </row>
    <row r="122" spans="2:17" ht="23.25" customHeight="1">
      <c r="B122" s="785" t="s">
        <v>117</v>
      </c>
      <c r="C122" s="1826" t="s">
        <v>459</v>
      </c>
      <c r="D122" s="1827"/>
      <c r="E122" s="1827"/>
      <c r="F122" s="1827"/>
      <c r="G122" s="1827"/>
      <c r="H122" s="1827"/>
      <c r="I122" s="1827"/>
      <c r="J122" s="1827"/>
      <c r="K122" s="808"/>
      <c r="L122" s="66"/>
      <c r="M122" s="175"/>
      <c r="N122" s="805"/>
    </row>
    <row r="123" spans="2:17" ht="11.25" customHeight="1">
      <c r="B123" s="812"/>
      <c r="C123" s="1301"/>
      <c r="D123" s="1301"/>
      <c r="E123" s="1301"/>
      <c r="F123" s="1301"/>
      <c r="G123" s="1301"/>
      <c r="H123" s="1301"/>
      <c r="I123" s="1301"/>
      <c r="J123" s="1301"/>
      <c r="K123" s="1263"/>
      <c r="L123" s="805"/>
      <c r="M123" s="175"/>
      <c r="N123" s="805"/>
    </row>
    <row r="124" spans="2:17" ht="15.75" customHeight="1">
      <c r="B124" s="818" t="s">
        <v>460</v>
      </c>
      <c r="C124" s="1301"/>
      <c r="D124" s="1301"/>
      <c r="E124" s="1301"/>
      <c r="F124" s="1301"/>
      <c r="G124" s="1301"/>
      <c r="H124" s="1301"/>
      <c r="I124" s="1301"/>
      <c r="J124" s="1301"/>
      <c r="K124" s="1263"/>
      <c r="L124" s="805"/>
      <c r="M124" s="175"/>
      <c r="N124" s="805"/>
    </row>
    <row r="125" spans="2:17" ht="36" customHeight="1">
      <c r="B125" s="818"/>
      <c r="C125" s="1691" t="s">
        <v>461</v>
      </c>
      <c r="D125" s="1835"/>
      <c r="E125" s="1835"/>
      <c r="F125" s="1835"/>
      <c r="G125" s="1835"/>
      <c r="H125" s="1835"/>
      <c r="I125" s="1835"/>
      <c r="J125" s="1835"/>
      <c r="K125" s="1263"/>
      <c r="L125" s="805"/>
      <c r="M125" s="175"/>
      <c r="N125" s="805"/>
    </row>
    <row r="126" spans="2:17" ht="10.5" customHeight="1">
      <c r="B126" s="818"/>
      <c r="C126" s="1301"/>
      <c r="D126" s="1301"/>
      <c r="E126" s="1301"/>
      <c r="F126" s="1301"/>
      <c r="G126" s="1301"/>
      <c r="H126" s="1301"/>
      <c r="I126" s="1301"/>
      <c r="J126" s="1301"/>
      <c r="K126" s="1263"/>
      <c r="L126" s="805"/>
      <c r="M126" s="175"/>
      <c r="N126" s="805"/>
    </row>
    <row r="127" spans="2:17" ht="11.25" customHeight="1">
      <c r="B127" s="1253" t="s">
        <v>119</v>
      </c>
      <c r="C127" s="794" t="s">
        <v>462</v>
      </c>
      <c r="D127" s="819"/>
      <c r="E127" s="810"/>
      <c r="F127" s="819"/>
      <c r="G127" s="819"/>
      <c r="H127" s="819"/>
      <c r="I127" s="819"/>
      <c r="J127" s="819"/>
      <c r="K127" s="798" t="s">
        <v>3</v>
      </c>
      <c r="L127" s="75"/>
      <c r="M127" s="175"/>
      <c r="N127" s="805"/>
    </row>
    <row r="128" spans="2:17" ht="11.25" customHeight="1">
      <c r="B128" s="1253" t="s">
        <v>120</v>
      </c>
      <c r="C128" s="792" t="s">
        <v>463</v>
      </c>
      <c r="D128" s="820"/>
      <c r="E128" s="824"/>
      <c r="F128" s="820"/>
      <c r="G128" s="820"/>
      <c r="H128" s="820"/>
      <c r="I128" s="820"/>
      <c r="J128" s="820"/>
      <c r="K128" s="808"/>
      <c r="L128" s="62"/>
      <c r="M128" s="175"/>
      <c r="N128" s="805"/>
    </row>
    <row r="129" spans="1:15" ht="23.25" customHeight="1">
      <c r="B129" s="1253" t="s">
        <v>122</v>
      </c>
      <c r="C129" s="1830" t="s">
        <v>464</v>
      </c>
      <c r="D129" s="1831"/>
      <c r="E129" s="1831"/>
      <c r="F129" s="1831"/>
      <c r="G129" s="1831"/>
      <c r="H129" s="1831"/>
      <c r="I129" s="1831"/>
      <c r="J129" s="1831"/>
      <c r="K129" s="798"/>
      <c r="L129" s="76"/>
      <c r="M129" s="175"/>
      <c r="N129" s="805"/>
    </row>
    <row r="130" spans="1:15" ht="11.25" customHeight="1">
      <c r="B130" s="1253" t="s">
        <v>123</v>
      </c>
      <c r="C130" s="792" t="s">
        <v>465</v>
      </c>
      <c r="D130" s="820"/>
      <c r="E130" s="824"/>
      <c r="F130" s="820"/>
      <c r="G130" s="820"/>
      <c r="H130" s="820"/>
      <c r="I130" s="820"/>
      <c r="J130" s="820"/>
      <c r="K130" s="808"/>
      <c r="L130" s="64"/>
      <c r="M130" s="175"/>
      <c r="N130" s="805"/>
    </row>
    <row r="131" spans="1:15" ht="11.25" customHeight="1" thickBot="1">
      <c r="B131" s="1253" t="s">
        <v>124</v>
      </c>
      <c r="C131" s="794" t="s">
        <v>466</v>
      </c>
      <c r="D131" s="819"/>
      <c r="E131" s="810"/>
      <c r="F131" s="819"/>
      <c r="G131" s="819"/>
      <c r="H131" s="819"/>
      <c r="I131" s="819"/>
      <c r="J131" s="819"/>
      <c r="K131" s="798"/>
      <c r="L131" s="65"/>
      <c r="M131" s="175"/>
      <c r="N131" s="805"/>
    </row>
    <row r="132" spans="1:15" ht="4.5" hidden="1" customHeight="1">
      <c r="B132" s="785"/>
      <c r="D132" s="1301"/>
      <c r="E132" s="1"/>
      <c r="F132" s="1301"/>
      <c r="G132" s="1301"/>
      <c r="H132" s="1301"/>
      <c r="I132" s="1301"/>
      <c r="J132" s="1301"/>
      <c r="K132" s="1263"/>
      <c r="L132" s="805"/>
      <c r="M132" s="175"/>
      <c r="N132" s="805"/>
    </row>
    <row r="133" spans="1:15" ht="11.25" customHeight="1" thickBot="1">
      <c r="B133" s="1256" t="s">
        <v>125</v>
      </c>
      <c r="C133" s="59"/>
      <c r="D133" s="1301"/>
      <c r="E133" s="1833" t="s">
        <v>467</v>
      </c>
      <c r="F133" s="1833"/>
      <c r="G133" s="1833"/>
      <c r="H133" s="1833"/>
      <c r="I133" s="1833"/>
      <c r="J133" s="826"/>
      <c r="K133" s="814"/>
      <c r="L133" s="827"/>
      <c r="M133" s="175"/>
      <c r="N133" s="805"/>
    </row>
    <row r="134" spans="1:15" ht="15.75" customHeight="1">
      <c r="B134" s="199"/>
      <c r="D134" s="1301"/>
      <c r="E134" s="1834"/>
      <c r="F134" s="1834"/>
      <c r="G134" s="1834"/>
      <c r="H134" s="1834"/>
      <c r="I134" s="1834"/>
      <c r="J134" s="826"/>
      <c r="K134" s="814"/>
      <c r="L134" s="827"/>
      <c r="M134" s="175"/>
      <c r="N134" s="805"/>
    </row>
    <row r="135" spans="1:15" ht="11.25" customHeight="1">
      <c r="B135" s="1253" t="s">
        <v>126</v>
      </c>
      <c r="C135" s="794" t="s">
        <v>1147</v>
      </c>
      <c r="D135" s="819"/>
      <c r="E135" s="810"/>
      <c r="F135" s="819"/>
      <c r="G135" s="819"/>
      <c r="H135" s="819"/>
      <c r="I135" s="819"/>
      <c r="J135" s="819"/>
      <c r="K135" s="798"/>
      <c r="L135" s="76"/>
      <c r="M135" s="175"/>
      <c r="N135" s="805"/>
    </row>
    <row r="136" spans="1:15" ht="11.25" customHeight="1">
      <c r="B136" s="1253" t="s">
        <v>248</v>
      </c>
      <c r="C136" s="792" t="s">
        <v>1148</v>
      </c>
      <c r="D136" s="820"/>
      <c r="E136" s="824"/>
      <c r="F136" s="820"/>
      <c r="G136" s="820"/>
      <c r="H136" s="820"/>
      <c r="I136" s="820"/>
      <c r="J136" s="820"/>
      <c r="K136" s="808"/>
      <c r="L136" s="61"/>
      <c r="M136" s="175"/>
      <c r="N136" s="805"/>
    </row>
    <row r="137" spans="1:15" ht="11.25" customHeight="1">
      <c r="B137" s="812"/>
      <c r="D137" s="1301"/>
      <c r="E137" s="1"/>
      <c r="F137" s="1301"/>
      <c r="G137" s="1301"/>
      <c r="H137" s="1301"/>
      <c r="I137" s="1301"/>
      <c r="J137" s="1301"/>
      <c r="K137" s="1263"/>
      <c r="L137" s="805"/>
      <c r="M137" s="175"/>
      <c r="N137" s="805"/>
    </row>
    <row r="138" spans="1:15" ht="21.75" customHeight="1">
      <c r="A138" s="1143" t="s">
        <v>468</v>
      </c>
    </row>
    <row r="139" spans="1:15" ht="24" customHeight="1">
      <c r="B139" s="812" t="s">
        <v>6</v>
      </c>
      <c r="C139" s="1830" t="s">
        <v>469</v>
      </c>
      <c r="D139" s="1831"/>
      <c r="E139" s="1831"/>
      <c r="F139" s="1831"/>
      <c r="G139" s="1831"/>
      <c r="H139" s="1831"/>
      <c r="I139" s="1831"/>
      <c r="J139" s="1831"/>
      <c r="K139" s="1836"/>
      <c r="L139" s="80"/>
      <c r="O139" s="1291"/>
    </row>
    <row r="141" spans="1:15" ht="21.75" customHeight="1" thickBot="1">
      <c r="A141" s="1143" t="s">
        <v>470</v>
      </c>
      <c r="C141" s="310"/>
    </row>
    <row r="142" spans="1:15" ht="12" customHeight="1" thickBot="1">
      <c r="A142" s="310"/>
      <c r="B142" s="758" t="s">
        <v>6</v>
      </c>
      <c r="C142" s="59" t="s">
        <v>1432</v>
      </c>
      <c r="E142" s="119" t="s">
        <v>471</v>
      </c>
    </row>
    <row r="143" spans="1:15" ht="34.5" customHeight="1">
      <c r="A143" s="310"/>
      <c r="B143" s="828"/>
      <c r="C143" s="1822" t="s">
        <v>472</v>
      </c>
      <c r="D143" s="1822"/>
      <c r="E143" s="1822"/>
      <c r="F143" s="1822"/>
      <c r="G143" s="1822"/>
      <c r="H143" s="1822"/>
      <c r="I143" s="1822"/>
      <c r="J143" s="1822"/>
      <c r="K143" s="1822"/>
    </row>
    <row r="144" spans="1:15" ht="12" customHeight="1">
      <c r="A144" s="310"/>
      <c r="B144" s="758" t="s">
        <v>8</v>
      </c>
      <c r="C144" s="1197" t="s">
        <v>1298</v>
      </c>
      <c r="D144" s="1198"/>
      <c r="E144" s="1149"/>
      <c r="F144" s="1198"/>
      <c r="G144" s="1198"/>
      <c r="H144" s="776"/>
      <c r="I144" s="776"/>
      <c r="J144" s="776"/>
      <c r="K144" s="808"/>
      <c r="L144" s="64"/>
    </row>
    <row r="145" spans="2:12">
      <c r="B145" s="411" t="s">
        <v>22</v>
      </c>
      <c r="C145" s="794" t="s">
        <v>1258</v>
      </c>
      <c r="D145" s="772"/>
      <c r="E145" s="772"/>
      <c r="F145" s="772"/>
      <c r="G145" s="772"/>
      <c r="H145" s="772"/>
      <c r="I145" s="772"/>
      <c r="J145" s="772"/>
      <c r="K145" s="798"/>
      <c r="L145" s="67"/>
    </row>
    <row r="146" spans="2:12">
      <c r="B146" s="207" t="s">
        <v>40</v>
      </c>
      <c r="C146" s="1197" t="s">
        <v>1259</v>
      </c>
      <c r="D146" s="1198"/>
      <c r="E146" s="1198"/>
      <c r="F146" s="1198"/>
      <c r="G146" s="1198"/>
      <c r="H146" s="1198"/>
      <c r="I146" s="776"/>
      <c r="J146" s="776"/>
      <c r="K146" s="808" t="s">
        <v>273</v>
      </c>
      <c r="L146" s="64"/>
    </row>
  </sheetData>
  <sheetProtection sheet="1" formatCells="0" formatColumns="0" formatRows="0"/>
  <mergeCells count="37">
    <mergeCell ref="C66:K66"/>
    <mergeCell ref="G22:H22"/>
    <mergeCell ref="G15:H15"/>
    <mergeCell ref="G16:H16"/>
    <mergeCell ref="G18:H18"/>
    <mergeCell ref="G20:H20"/>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customProperties>
    <customPr name="OrphanNamesCheck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zoomScaleNormal="100" zoomScaleSheetLayoutView="100" workbookViewId="0">
      <selection sqref="A1:D1"/>
    </sheetView>
  </sheetViews>
  <sheetFormatPr defaultColWidth="9" defaultRowHeight="12"/>
  <cols>
    <col min="1" max="1" width="2.453125" style="96" bestFit="1" customWidth="1"/>
    <col min="2" max="2" width="2" style="96" customWidth="1"/>
    <col min="3" max="3" width="2.81640625" style="96" customWidth="1"/>
    <col min="4" max="4" width="2" style="96" customWidth="1"/>
    <col min="5" max="5" width="6.453125" style="96" customWidth="1"/>
    <col min="6" max="6" width="10.81640625" style="96" customWidth="1"/>
    <col min="7" max="7" width="9" style="96" customWidth="1"/>
    <col min="8" max="8" width="9.81640625" style="96" customWidth="1"/>
    <col min="9" max="9" width="9" style="96" customWidth="1"/>
    <col min="10" max="10" width="7" style="96" customWidth="1"/>
    <col min="11" max="11" width="1" style="96" customWidth="1"/>
    <col min="12" max="12" width="9" style="96" customWidth="1"/>
    <col min="13" max="14" width="1" style="96" customWidth="1"/>
    <col min="15" max="15" width="9.81640625" style="96" customWidth="1"/>
    <col min="16" max="17" width="1" style="96" customWidth="1"/>
    <col min="18" max="18" width="10" style="96" customWidth="1"/>
    <col min="19" max="19" width="9" style="96" customWidth="1"/>
    <col min="20" max="20" width="6" style="96" customWidth="1"/>
    <col min="21" max="22" width="9" style="96" customWidth="1"/>
    <col min="23" max="23" width="6" style="96" customWidth="1"/>
    <col min="24" max="24" width="10" style="96" customWidth="1"/>
    <col min="25" max="25" width="9.81640625" style="96" bestFit="1" customWidth="1"/>
    <col min="26" max="26" width="9" style="96" customWidth="1"/>
    <col min="27" max="27" width="6" style="96" customWidth="1"/>
    <col min="28" max="30" width="9" style="96" customWidth="1"/>
    <col min="31" max="31" width="6" style="96" customWidth="1"/>
    <col min="32" max="37" width="9" style="96" customWidth="1"/>
    <col min="38" max="16384" width="9" style="96"/>
  </cols>
  <sheetData>
    <row r="1" spans="1:17" ht="15.75" customHeight="1">
      <c r="A1" s="1854" t="s">
        <v>56</v>
      </c>
      <c r="B1" s="1854"/>
      <c r="C1" s="1854"/>
      <c r="D1" s="1854"/>
      <c r="E1" s="1855" t="str">
        <f>Cover!C1</f>
        <v>Mary C O'Brien Accommodation District</v>
      </c>
      <c r="F1" s="1855"/>
      <c r="G1" s="1855"/>
      <c r="H1" s="1305" t="s">
        <v>1</v>
      </c>
      <c r="I1" s="1855" t="str">
        <f>Cover!H1</f>
        <v>Pinal</v>
      </c>
      <c r="J1" s="1855"/>
      <c r="K1" s="1855"/>
      <c r="L1" s="1854" t="s">
        <v>57</v>
      </c>
      <c r="M1" s="1854"/>
      <c r="N1" s="1854"/>
      <c r="O1" s="1310" t="str">
        <f>CTD</f>
        <v>110100000</v>
      </c>
      <c r="P1" s="210"/>
      <c r="Q1" s="210"/>
    </row>
    <row r="2" spans="1:17">
      <c r="N2" s="1305" t="s">
        <v>16</v>
      </c>
      <c r="O2" s="1310" t="str">
        <f>Cover!C8</f>
        <v>Proposed</v>
      </c>
    </row>
    <row r="3" spans="1:17" ht="1.5" customHeight="1">
      <c r="N3" s="1305"/>
      <c r="O3" s="829"/>
    </row>
    <row r="4" spans="1:17" ht="15.75" customHeight="1">
      <c r="A4" s="1590" t="s">
        <v>682</v>
      </c>
      <c r="B4" s="1590"/>
      <c r="C4" s="1590"/>
      <c r="D4" s="1590"/>
      <c r="E4" s="1590"/>
      <c r="F4" s="1845" t="s">
        <v>473</v>
      </c>
      <c r="G4" s="1845"/>
      <c r="H4" s="1845"/>
      <c r="I4" s="1845"/>
      <c r="N4" s="1305"/>
      <c r="O4" s="829"/>
    </row>
    <row r="5" spans="1:17" ht="2.25" customHeight="1">
      <c r="N5" s="1305"/>
      <c r="O5" s="829"/>
    </row>
    <row r="6" spans="1:17" ht="8.25" hidden="1" customHeight="1">
      <c r="N6" s="1305"/>
      <c r="O6" s="829"/>
    </row>
    <row r="7" spans="1:17" ht="14.25" customHeight="1"/>
    <row r="8" spans="1:17" ht="15.6">
      <c r="A8" s="830" t="s">
        <v>1149</v>
      </c>
      <c r="B8" s="310"/>
      <c r="C8" s="310"/>
      <c r="D8" s="310"/>
      <c r="E8" s="310"/>
      <c r="F8" s="310"/>
      <c r="G8" s="310"/>
      <c r="I8" s="1146"/>
    </row>
    <row r="9" spans="1:17" ht="15.75" customHeight="1">
      <c r="A9" s="310"/>
      <c r="B9" s="310"/>
      <c r="C9" s="310"/>
      <c r="D9" s="310"/>
      <c r="E9" s="310"/>
      <c r="F9" s="310"/>
      <c r="G9" s="1147"/>
      <c r="H9" s="1887" t="s">
        <v>474</v>
      </c>
      <c r="I9" s="1888"/>
      <c r="J9" s="1887" t="s">
        <v>475</v>
      </c>
      <c r="K9" s="1893"/>
      <c r="L9" s="1888"/>
      <c r="M9" s="831"/>
    </row>
    <row r="10" spans="1:17" ht="15.6">
      <c r="B10" s="97"/>
      <c r="C10" s="310"/>
      <c r="E10" s="310"/>
      <c r="F10" s="310"/>
      <c r="G10" s="1147"/>
      <c r="H10" s="1889"/>
      <c r="I10" s="1890"/>
      <c r="J10" s="1889"/>
      <c r="K10" s="1894"/>
      <c r="L10" s="1890"/>
      <c r="M10" s="831"/>
    </row>
    <row r="11" spans="1:17" ht="15.75" customHeight="1">
      <c r="A11" s="334"/>
      <c r="B11" s="334"/>
      <c r="C11" s="334"/>
      <c r="D11" s="334"/>
      <c r="E11" s="334"/>
      <c r="F11" s="334"/>
      <c r="G11" s="832"/>
      <c r="H11" s="1309" t="s">
        <v>420</v>
      </c>
      <c r="I11" s="833" t="s">
        <v>421</v>
      </c>
      <c r="J11" s="1872" t="s">
        <v>420</v>
      </c>
      <c r="K11" s="1873"/>
      <c r="L11" s="833" t="s">
        <v>421</v>
      </c>
      <c r="M11" s="834"/>
    </row>
    <row r="12" spans="1:17">
      <c r="A12" s="835" t="s">
        <v>1150</v>
      </c>
      <c r="B12" s="324"/>
      <c r="C12" s="324"/>
      <c r="D12" s="324"/>
      <c r="E12" s="324"/>
      <c r="F12" s="324"/>
      <c r="G12" s="836"/>
      <c r="H12" s="837"/>
      <c r="I12" s="837"/>
      <c r="J12" s="1874"/>
      <c r="K12" s="1875"/>
      <c r="L12" s="837"/>
      <c r="M12" s="784"/>
    </row>
    <row r="13" spans="1:17" ht="12.6" thickBot="1">
      <c r="A13" s="838"/>
      <c r="B13" s="839" t="s">
        <v>1030</v>
      </c>
      <c r="C13" s="839"/>
      <c r="D13" s="839"/>
      <c r="E13" s="839"/>
      <c r="F13" s="839"/>
      <c r="G13" s="840"/>
      <c r="H13" s="841">
        <v>1.5589999999999999</v>
      </c>
      <c r="I13" s="841">
        <v>1.669</v>
      </c>
      <c r="J13" s="1876">
        <v>1.399</v>
      </c>
      <c r="K13" s="1877"/>
      <c r="L13" s="841">
        <v>1.5589999999999999</v>
      </c>
      <c r="M13" s="784"/>
    </row>
    <row r="14" spans="1:17">
      <c r="A14" s="784" t="s">
        <v>1031</v>
      </c>
      <c r="H14" s="1311"/>
      <c r="I14" s="842"/>
      <c r="J14" s="1878"/>
      <c r="K14" s="1879"/>
      <c r="L14" s="843"/>
    </row>
    <row r="15" spans="1:17">
      <c r="A15" s="784"/>
      <c r="B15" s="96" t="s">
        <v>519</v>
      </c>
      <c r="H15" s="1313">
        <v>500</v>
      </c>
      <c r="I15" s="844">
        <v>500</v>
      </c>
      <c r="J15" s="1880">
        <v>500</v>
      </c>
      <c r="K15" s="1881"/>
      <c r="L15" s="845">
        <v>500</v>
      </c>
      <c r="M15" s="846"/>
    </row>
    <row r="16" spans="1:17">
      <c r="A16" s="784"/>
      <c r="B16" s="96" t="s">
        <v>1032</v>
      </c>
      <c r="G16" s="1263" t="s">
        <v>477</v>
      </c>
      <c r="H16" s="847">
        <f>IF(AND(UnweightedStudCntK8CY&gt;=100,UnweightedStudCntK8CY&lt;500,SmallIsolatedPSD8Checkbox="X"),UnweightedStudCntK8CY,0)</f>
        <v>0</v>
      </c>
      <c r="I16" s="847">
        <f>IF(AND(UnweightedStudCnt912CY&gt;=100,UnweightedStudCnt912CY&lt;500,SmallIsolated912Checkbox="X"),UnweightedStudCnt912CY,0)</f>
        <v>0</v>
      </c>
      <c r="J16" s="1895">
        <f>IF(AND(UnweightedStudCntK8CY&gt;=100,UnweightedStudCntK8CY&lt;500,SmallIsolatedPSD8Checkbox&lt;&gt;"X"),UnweightedStudCntK8CY,0)</f>
        <v>115.88</v>
      </c>
      <c r="K16" s="1896"/>
      <c r="L16" s="848">
        <f>IF(AND(UnweightedStudCnt912CY&gt;=100,UnweightedStudCnt912CY&lt;500,SmallIsolated912Checkbox&lt;&gt;"X"),UnweightedStudCnt912CY,0)</f>
        <v>0</v>
      </c>
      <c r="M16" s="846"/>
    </row>
    <row r="17" spans="1:13">
      <c r="A17" s="784"/>
      <c r="B17" s="96" t="s">
        <v>478</v>
      </c>
      <c r="G17" s="1263" t="s">
        <v>479</v>
      </c>
      <c r="H17" s="847">
        <f>IF(H16&gt;0,H15-H16,0)</f>
        <v>0</v>
      </c>
      <c r="I17" s="847">
        <f>IF(I16&gt;0,I15-I16,0)</f>
        <v>0</v>
      </c>
      <c r="J17" s="1895">
        <f>IF(J16&gt;0,J15-J16,0)</f>
        <v>384.12</v>
      </c>
      <c r="K17" s="1896"/>
      <c r="L17" s="845">
        <f>IF(L16&gt;0,L15-L16,0)</f>
        <v>0</v>
      </c>
      <c r="M17" s="846"/>
    </row>
    <row r="18" spans="1:13">
      <c r="A18" s="784"/>
      <c r="B18" s="96" t="s">
        <v>522</v>
      </c>
      <c r="G18" s="1263" t="s">
        <v>480</v>
      </c>
      <c r="H18" s="847">
        <v>5.0000000000000001E-4</v>
      </c>
      <c r="I18" s="847">
        <v>5.0000000000000001E-4</v>
      </c>
      <c r="J18" s="1895">
        <v>2.9999999999999997E-4</v>
      </c>
      <c r="K18" s="1896"/>
      <c r="L18" s="844">
        <v>4.0000000000000002E-4</v>
      </c>
      <c r="M18" s="744"/>
    </row>
    <row r="19" spans="1:13">
      <c r="A19" s="784"/>
      <c r="B19" s="96" t="s">
        <v>524</v>
      </c>
      <c r="G19" s="1263" t="s">
        <v>479</v>
      </c>
      <c r="H19" s="847">
        <f>H17*H18</f>
        <v>0</v>
      </c>
      <c r="I19" s="847">
        <f>I17*I18</f>
        <v>0</v>
      </c>
      <c r="J19" s="1895">
        <f>J17*J18</f>
        <v>0.1152</v>
      </c>
      <c r="K19" s="1896"/>
      <c r="L19" s="848">
        <f>L17*L18</f>
        <v>0</v>
      </c>
      <c r="M19" s="846"/>
    </row>
    <row r="20" spans="1:13">
      <c r="A20" s="784"/>
      <c r="B20" s="96" t="s">
        <v>1030</v>
      </c>
      <c r="G20" s="1263" t="s">
        <v>481</v>
      </c>
      <c r="H20" s="849">
        <v>1.3580000000000001</v>
      </c>
      <c r="I20" s="849">
        <v>1.468</v>
      </c>
      <c r="J20" s="1884">
        <v>1.278</v>
      </c>
      <c r="K20" s="1885"/>
      <c r="L20" s="850">
        <v>1.3979999999999999</v>
      </c>
      <c r="M20" s="846"/>
    </row>
    <row r="21" spans="1:13" ht="12.6" thickBot="1">
      <c r="A21" s="784"/>
      <c r="C21" s="96" t="s">
        <v>1033</v>
      </c>
      <c r="G21" s="1263" t="s">
        <v>479</v>
      </c>
      <c r="H21" s="851">
        <f>IF(H16&gt;0,H19+H20,0)</f>
        <v>0</v>
      </c>
      <c r="I21" s="851">
        <f>IF(I16&gt;0,I19+I20,0)</f>
        <v>0</v>
      </c>
      <c r="J21" s="1900">
        <f>IF(J16&gt;0,J19+J20,0)</f>
        <v>1.3932</v>
      </c>
      <c r="K21" s="1901"/>
      <c r="L21" s="852">
        <f>IF(L16&gt;0,L19+L20,0)</f>
        <v>0</v>
      </c>
      <c r="M21" s="846"/>
    </row>
    <row r="22" spans="1:13">
      <c r="A22" s="784" t="s">
        <v>1034</v>
      </c>
      <c r="H22" s="1311"/>
      <c r="I22" s="842"/>
      <c r="J22" s="1878"/>
      <c r="K22" s="1879"/>
      <c r="L22" s="843"/>
    </row>
    <row r="23" spans="1:13">
      <c r="A23" s="784"/>
      <c r="B23" s="96" t="s">
        <v>519</v>
      </c>
      <c r="H23" s="1314">
        <v>600</v>
      </c>
      <c r="I23" s="853">
        <v>600</v>
      </c>
      <c r="J23" s="1891">
        <v>600</v>
      </c>
      <c r="K23" s="1892"/>
      <c r="L23" s="854">
        <v>600</v>
      </c>
      <c r="M23" s="846"/>
    </row>
    <row r="24" spans="1:13">
      <c r="A24" s="784"/>
      <c r="B24" s="96" t="s">
        <v>1035</v>
      </c>
      <c r="G24" s="1263" t="s">
        <v>477</v>
      </c>
      <c r="H24" s="761">
        <f>IF(AND(UnweightedStudCntK8CY&gt;=500,UnweightedStudCntK8CY&lt;600,SmallIsolatedPSD8Checkbox="X"),UnweightedStudCntK8CY,0)</f>
        <v>0</v>
      </c>
      <c r="I24" s="761">
        <f>IF(AND(UnweightedStudCnt912CY&gt;=500,UnweightedStudCnt912CY&lt;600,SmallIsolated912Checkbox="X"),UnweightedStudCnt912CY,0)</f>
        <v>0</v>
      </c>
      <c r="J24" s="1891">
        <f>IF(AND(UnweightedStudCntK8CY&gt;=500,UnweightedStudCntK8CY&lt;600,SmallIsolatedPSD8Checkbox&lt;&gt;"X"),UnweightedStudCntK8CY,0)</f>
        <v>0</v>
      </c>
      <c r="K24" s="1892"/>
      <c r="L24" s="762">
        <f>IF(AND(UnweightedStudCnt912CY&gt;=500,UnweightedStudCnt912CY&lt;600,SmallIsolated912Checkbox&lt;&gt;"X"),UnweightedStudCnt912CY,0)</f>
        <v>0</v>
      </c>
      <c r="M24" s="846"/>
    </row>
    <row r="25" spans="1:13">
      <c r="A25" s="784"/>
      <c r="B25" s="96" t="s">
        <v>478</v>
      </c>
      <c r="G25" s="1263" t="s">
        <v>479</v>
      </c>
      <c r="H25" s="761">
        <f>IF(H24&gt;0,H23-H24,0)</f>
        <v>0</v>
      </c>
      <c r="I25" s="761">
        <f>IF(I24&gt;0,I23-I24,0)</f>
        <v>0</v>
      </c>
      <c r="J25" s="1891">
        <f>IF(J24&gt;0,J23-J24,0)</f>
        <v>0</v>
      </c>
      <c r="K25" s="1892"/>
      <c r="L25" s="762">
        <f>IF(L24&gt;0,L23-L24,0)</f>
        <v>0</v>
      </c>
      <c r="M25" s="846"/>
    </row>
    <row r="26" spans="1:13">
      <c r="A26" s="784"/>
      <c r="B26" s="96" t="s">
        <v>522</v>
      </c>
      <c r="G26" s="1263" t="s">
        <v>480</v>
      </c>
      <c r="H26" s="761">
        <v>2E-3</v>
      </c>
      <c r="I26" s="761">
        <v>2E-3</v>
      </c>
      <c r="J26" s="1891">
        <v>1.1999999999999999E-3</v>
      </c>
      <c r="K26" s="1892"/>
      <c r="L26" s="762">
        <v>1.2999999999999999E-3</v>
      </c>
      <c r="M26" s="744"/>
    </row>
    <row r="27" spans="1:13">
      <c r="A27" s="784"/>
      <c r="B27" s="96" t="s">
        <v>524</v>
      </c>
      <c r="G27" s="1263" t="s">
        <v>479</v>
      </c>
      <c r="H27" s="761">
        <f>H25*H26</f>
        <v>0</v>
      </c>
      <c r="I27" s="761">
        <f>I25*I26</f>
        <v>0</v>
      </c>
      <c r="J27" s="1891">
        <f>J25*J26</f>
        <v>0</v>
      </c>
      <c r="K27" s="1892"/>
      <c r="L27" s="762">
        <f>L25*L26</f>
        <v>0</v>
      </c>
      <c r="M27" s="846"/>
    </row>
    <row r="28" spans="1:13">
      <c r="A28" s="784"/>
      <c r="B28" s="96" t="s">
        <v>1030</v>
      </c>
      <c r="G28" s="1263" t="s">
        <v>481</v>
      </c>
      <c r="H28" s="849">
        <v>1.1579999999999999</v>
      </c>
      <c r="I28" s="849">
        <v>1.268</v>
      </c>
      <c r="J28" s="1884">
        <v>1.1579999999999999</v>
      </c>
      <c r="K28" s="1885"/>
      <c r="L28" s="850">
        <v>1.268</v>
      </c>
      <c r="M28" s="846"/>
    </row>
    <row r="29" spans="1:13" ht="12.6" thickBot="1">
      <c r="A29" s="784"/>
      <c r="C29" s="96" t="s">
        <v>1033</v>
      </c>
      <c r="G29" s="1312" t="s">
        <v>479</v>
      </c>
      <c r="H29" s="851">
        <f>IF(H24&gt;0,H27+H28,0)</f>
        <v>0</v>
      </c>
      <c r="I29" s="851">
        <f>IF(I24&gt;0,I27+I28,0)</f>
        <v>0</v>
      </c>
      <c r="J29" s="1900">
        <f>IF(J24&gt;0,J27+J28,0)</f>
        <v>0</v>
      </c>
      <c r="K29" s="1901"/>
      <c r="L29" s="852">
        <f>IF(L24&gt;0,L27+L28,0)</f>
        <v>0</v>
      </c>
      <c r="M29" s="846"/>
    </row>
    <row r="30" spans="1:13">
      <c r="A30" s="784" t="s">
        <v>1036</v>
      </c>
      <c r="H30" s="855"/>
      <c r="I30" s="856"/>
      <c r="J30" s="1616"/>
      <c r="K30" s="1879"/>
      <c r="L30" s="843"/>
    </row>
    <row r="31" spans="1:13" ht="12.6" thickBot="1">
      <c r="A31" s="857"/>
      <c r="B31" s="858" t="s">
        <v>1030</v>
      </c>
      <c r="C31" s="858"/>
      <c r="D31" s="858"/>
      <c r="E31" s="858"/>
      <c r="F31" s="858"/>
      <c r="G31" s="858"/>
      <c r="H31" s="859"/>
      <c r="I31" s="860"/>
      <c r="J31" s="1882">
        <v>1.1579999999999999</v>
      </c>
      <c r="K31" s="1883"/>
      <c r="L31" s="861">
        <v>1.268</v>
      </c>
      <c r="M31" s="846"/>
    </row>
    <row r="32" spans="1:13">
      <c r="A32" s="784" t="s">
        <v>1151</v>
      </c>
      <c r="H32" s="862"/>
      <c r="I32" s="856"/>
      <c r="J32" s="1898"/>
      <c r="K32" s="1899"/>
      <c r="L32" s="843"/>
    </row>
    <row r="33" spans="1:22" ht="12.6" thickBot="1">
      <c r="A33" s="857"/>
      <c r="B33" s="858" t="s">
        <v>1152</v>
      </c>
      <c r="C33" s="858"/>
      <c r="D33" s="858"/>
      <c r="E33" s="858"/>
      <c r="F33" s="858"/>
      <c r="G33" s="858"/>
      <c r="H33" s="859"/>
      <c r="I33" s="860"/>
      <c r="J33" s="1902"/>
      <c r="K33" s="1903"/>
      <c r="L33" s="861">
        <v>1.339</v>
      </c>
      <c r="M33" s="846"/>
      <c r="T33" s="1560" t="s">
        <v>1153</v>
      </c>
      <c r="U33" s="1560"/>
      <c r="V33" s="1560"/>
    </row>
    <row r="34" spans="1:22">
      <c r="U34" s="756" t="s">
        <v>426</v>
      </c>
      <c r="V34" s="756" t="s">
        <v>482</v>
      </c>
    </row>
    <row r="35" spans="1:22">
      <c r="B35" s="207"/>
      <c r="C35" s="1"/>
      <c r="D35" s="1"/>
      <c r="E35" s="1"/>
      <c r="F35" s="1"/>
      <c r="G35" s="777"/>
      <c r="H35" s="777"/>
      <c r="I35" s="777"/>
      <c r="L35" s="863"/>
      <c r="O35" s="864"/>
      <c r="P35" s="864"/>
      <c r="Q35" s="864"/>
      <c r="R35" s="864"/>
      <c r="S35" s="864"/>
      <c r="T35" s="96" t="s">
        <v>483</v>
      </c>
      <c r="U35" s="762">
        <f>NonAOIStudCntK3*K3SLW</f>
        <v>3.8328000000000002</v>
      </c>
      <c r="V35" s="762">
        <f>NonAOIStudCntK3R*K3RSLW</f>
        <v>2.5552000000000001</v>
      </c>
    </row>
    <row r="36" spans="1:22" ht="12" customHeight="1">
      <c r="T36" s="96" t="s">
        <v>484</v>
      </c>
      <c r="U36" s="762">
        <f>AOIFTStudCntK3*K3SLW*AOIFTFundFactor</f>
        <v>0</v>
      </c>
      <c r="V36" s="762">
        <f>AOIFTStudCntK3R*K3RSLW*AOIFTFundFactor</f>
        <v>0</v>
      </c>
    </row>
    <row r="37" spans="1:22" ht="14.25" customHeight="1">
      <c r="A37" s="830" t="s">
        <v>485</v>
      </c>
      <c r="T37" s="96" t="s">
        <v>486</v>
      </c>
      <c r="U37" s="762">
        <f>AOIPTStudCntK3*K3SLW*AOIPTFundFactor</f>
        <v>0</v>
      </c>
      <c r="V37" s="762">
        <f>AOIPTStudCntK3R*K3RSLW*AOIPTFundFactor</f>
        <v>0</v>
      </c>
    </row>
    <row r="38" spans="1:22">
      <c r="B38" s="207" t="s">
        <v>6</v>
      </c>
      <c r="C38" s="96" t="s">
        <v>1037</v>
      </c>
      <c r="L38" s="96" t="s">
        <v>426</v>
      </c>
      <c r="N38" s="865" t="s">
        <v>273</v>
      </c>
      <c r="O38" s="866">
        <f>ROUND(U38*BSA55BLA*BSA55TEI,2)</f>
        <v>19990.080000000002</v>
      </c>
      <c r="T38" s="96" t="s">
        <v>359</v>
      </c>
      <c r="U38" s="762">
        <f>U35+U36+U37</f>
        <v>3.8328000000000002</v>
      </c>
      <c r="V38" s="762">
        <f>V35+V36+V37</f>
        <v>2.5552000000000001</v>
      </c>
    </row>
    <row r="39" spans="1:22">
      <c r="B39" s="207"/>
      <c r="L39" s="96" t="s">
        <v>425</v>
      </c>
      <c r="N39" s="865" t="s">
        <v>273</v>
      </c>
      <c r="O39" s="866">
        <f>ROUND(V38*BSA55BLA*BSA55TEI,2)</f>
        <v>13326.72</v>
      </c>
      <c r="T39" s="1627" t="s">
        <v>487</v>
      </c>
      <c r="U39" s="1627"/>
      <c r="V39" s="1627"/>
    </row>
    <row r="40" spans="1:22">
      <c r="B40" s="207"/>
      <c r="Q40" s="1263"/>
      <c r="R40" s="805"/>
      <c r="T40" s="1627"/>
      <c r="U40" s="1627"/>
      <c r="V40" s="1627"/>
    </row>
    <row r="41" spans="1:22" ht="12" customHeight="1">
      <c r="B41" s="1453"/>
      <c r="C41" s="206"/>
      <c r="D41" s="206"/>
      <c r="E41" s="206"/>
      <c r="F41" s="206"/>
      <c r="G41" s="206"/>
      <c r="H41" s="206"/>
      <c r="I41" s="206"/>
      <c r="J41" s="206"/>
      <c r="K41" s="206"/>
      <c r="L41" s="206"/>
      <c r="M41" s="206"/>
      <c r="N41" s="1454"/>
      <c r="O41" s="1455"/>
    </row>
    <row r="42" spans="1:22">
      <c r="Q42" s="1263"/>
      <c r="R42" s="805"/>
    </row>
    <row r="43" spans="1:22" ht="2.25" customHeight="1">
      <c r="R43" s="867"/>
    </row>
    <row r="44" spans="1:22" ht="12" hidden="1" customHeight="1">
      <c r="A44" s="868"/>
      <c r="B44" s="868"/>
      <c r="C44" s="868"/>
      <c r="D44" s="868"/>
      <c r="E44" s="868"/>
      <c r="F44" s="868"/>
      <c r="G44" s="868"/>
      <c r="H44" s="868"/>
      <c r="I44" s="868"/>
      <c r="J44" s="868"/>
      <c r="K44" s="868"/>
      <c r="L44" s="868"/>
      <c r="M44" s="868"/>
      <c r="N44" s="868"/>
      <c r="O44" s="868"/>
      <c r="P44" s="868"/>
      <c r="Q44" s="868"/>
    </row>
    <row r="45" spans="1:22" ht="12" hidden="1" customHeight="1"/>
    <row r="46" spans="1:22" ht="12" hidden="1" customHeight="1"/>
    <row r="47" spans="1:22" ht="12" customHeight="1"/>
    <row r="48" spans="1:22" ht="15.6">
      <c r="A48" s="830" t="s">
        <v>883</v>
      </c>
      <c r="C48" s="310"/>
      <c r="D48" s="310"/>
    </row>
    <row r="49" spans="1:16" ht="18" customHeight="1">
      <c r="A49" s="310"/>
      <c r="B49" s="310"/>
      <c r="C49" s="310"/>
      <c r="D49" s="310"/>
      <c r="F49" s="116" t="s">
        <v>488</v>
      </c>
    </row>
    <row r="50" spans="1:16" ht="15.6">
      <c r="A50" s="310"/>
      <c r="B50" s="310"/>
      <c r="C50" s="310"/>
      <c r="D50" s="310"/>
      <c r="L50" s="748" t="s">
        <v>420</v>
      </c>
      <c r="O50" s="1310" t="s">
        <v>421</v>
      </c>
      <c r="P50" s="210"/>
    </row>
    <row r="51" spans="1:16">
      <c r="B51" s="785" t="s">
        <v>6</v>
      </c>
      <c r="C51" s="96" t="s">
        <v>1247</v>
      </c>
    </row>
    <row r="52" spans="1:16" ht="12.6" thickBot="1">
      <c r="B52" s="199"/>
      <c r="F52" s="96" t="s">
        <v>1038</v>
      </c>
      <c r="K52" s="869" t="s">
        <v>273</v>
      </c>
      <c r="L52" s="870">
        <v>663.81</v>
      </c>
      <c r="N52" s="869" t="s">
        <v>273</v>
      </c>
      <c r="O52" s="870">
        <v>732.87</v>
      </c>
    </row>
    <row r="53" spans="1:16" ht="6.75" customHeight="1" thickTop="1">
      <c r="B53" s="199"/>
    </row>
    <row r="54" spans="1:16">
      <c r="B54" s="785" t="s">
        <v>8</v>
      </c>
      <c r="C54" s="96" t="s">
        <v>1248</v>
      </c>
    </row>
    <row r="55" spans="1:16">
      <c r="B55" s="199"/>
      <c r="C55" s="1263" t="s">
        <v>376</v>
      </c>
      <c r="D55" s="96" t="s">
        <v>519</v>
      </c>
      <c r="K55" s="794"/>
      <c r="L55" s="871">
        <v>500</v>
      </c>
      <c r="N55" s="794"/>
      <c r="O55" s="871">
        <v>500</v>
      </c>
    </row>
    <row r="56" spans="1:16">
      <c r="B56" s="199"/>
      <c r="C56" s="1263" t="s">
        <v>377</v>
      </c>
      <c r="D56" s="96" t="s">
        <v>1035</v>
      </c>
      <c r="J56" s="1263" t="s">
        <v>477</v>
      </c>
      <c r="K56" s="872"/>
      <c r="L56" s="871">
        <f>IF(AND(100&lt;='Data Entry'!H29,'Data Entry'!H29&lt;500),'Data Entry'!H29,0)</f>
        <v>115.88</v>
      </c>
      <c r="M56" s="1263" t="s">
        <v>477</v>
      </c>
      <c r="N56" s="794"/>
      <c r="O56" s="871">
        <f>IF(AND(VALUE(LEFT(RIGHT(O1,7),2))=3,(UnweightedStudCnt912PY+HSCountDORtoDOA)&gt;=100,(UnweightedStudCnt912PY+HSCountDORtoDOA)&lt;500),(UnweightedStudCnt912PY+HSCountDORtoDOA),IF(AND(UnweightedStudCnt912PY&gt;=100,UnweightedStudCnt912PY&lt;500),UnweightedStudCnt912PY,0))</f>
        <v>0</v>
      </c>
    </row>
    <row r="57" spans="1:16">
      <c r="B57" s="199"/>
      <c r="C57" s="1263" t="s">
        <v>378</v>
      </c>
      <c r="D57" s="96" t="s">
        <v>478</v>
      </c>
      <c r="J57" s="1263" t="s">
        <v>479</v>
      </c>
      <c r="K57" s="872"/>
      <c r="L57" s="871">
        <f>IF(L56&gt;0,L55-L56,0)</f>
        <v>384.12</v>
      </c>
      <c r="M57" s="1263" t="s">
        <v>479</v>
      </c>
      <c r="N57" s="794"/>
      <c r="O57" s="871">
        <f>IF(O56&gt;0,O55-O56,0)</f>
        <v>0</v>
      </c>
    </row>
    <row r="58" spans="1:16">
      <c r="B58" s="199"/>
      <c r="C58" s="1263" t="s">
        <v>454</v>
      </c>
      <c r="D58" s="96" t="s">
        <v>522</v>
      </c>
      <c r="J58" s="1263" t="s">
        <v>480</v>
      </c>
      <c r="K58" s="872"/>
      <c r="L58" s="871">
        <v>2.9999999999999997E-4</v>
      </c>
      <c r="M58" s="1263" t="s">
        <v>480</v>
      </c>
      <c r="N58" s="794"/>
      <c r="O58" s="873">
        <v>4.0000000000000002E-4</v>
      </c>
    </row>
    <row r="59" spans="1:16">
      <c r="B59" s="199"/>
      <c r="C59" s="1263" t="s">
        <v>489</v>
      </c>
      <c r="D59" s="96" t="s">
        <v>524</v>
      </c>
      <c r="J59" s="1263" t="s">
        <v>479</v>
      </c>
      <c r="K59" s="872"/>
      <c r="L59" s="871">
        <f>IF(L56&gt;0,ROUND(+L57*L58,3),0)</f>
        <v>0.115</v>
      </c>
      <c r="M59" s="1263" t="s">
        <v>479</v>
      </c>
      <c r="N59" s="794"/>
      <c r="O59" s="871">
        <f>IF(O56&gt;0,ROUND(+O57*O58,3),0)</f>
        <v>0</v>
      </c>
    </row>
    <row r="60" spans="1:16">
      <c r="B60" s="199"/>
      <c r="C60" s="1263" t="s">
        <v>490</v>
      </c>
      <c r="D60" s="96" t="s">
        <v>525</v>
      </c>
      <c r="J60" s="1263" t="s">
        <v>481</v>
      </c>
      <c r="K60" s="872"/>
      <c r="L60" s="871">
        <v>1.278</v>
      </c>
      <c r="M60" s="1263" t="s">
        <v>481</v>
      </c>
      <c r="N60" s="794"/>
      <c r="O60" s="873">
        <v>1.3979999999999999</v>
      </c>
    </row>
    <row r="61" spans="1:16">
      <c r="B61" s="199"/>
      <c r="C61" s="1263" t="s">
        <v>491</v>
      </c>
      <c r="D61" s="96" t="s">
        <v>1033</v>
      </c>
      <c r="J61" s="1263" t="s">
        <v>479</v>
      </c>
      <c r="K61" s="872"/>
      <c r="L61" s="871">
        <f>IF(L56&gt;0,+L59+L60,0)</f>
        <v>1.393</v>
      </c>
      <c r="M61" s="1263" t="s">
        <v>479</v>
      </c>
      <c r="N61" s="794"/>
      <c r="O61" s="871">
        <f>IF(O56&gt;0,+O59+O60,0)</f>
        <v>0</v>
      </c>
    </row>
    <row r="62" spans="1:16">
      <c r="B62" s="199"/>
      <c r="C62" s="1263" t="s">
        <v>492</v>
      </c>
      <c r="D62" s="96" t="s">
        <v>1039</v>
      </c>
      <c r="J62" s="1263" t="s">
        <v>480</v>
      </c>
      <c r="K62" s="865" t="s">
        <v>273</v>
      </c>
      <c r="L62" s="874">
        <v>474.47</v>
      </c>
      <c r="M62" s="1263" t="s">
        <v>480</v>
      </c>
      <c r="N62" s="865" t="s">
        <v>273</v>
      </c>
      <c r="O62" s="874">
        <v>494.39</v>
      </c>
    </row>
    <row r="63" spans="1:16" ht="12.6" thickBot="1">
      <c r="B63" s="199"/>
      <c r="C63" s="1263" t="s">
        <v>493</v>
      </c>
      <c r="D63" s="1263"/>
      <c r="F63" s="96" t="s">
        <v>1038</v>
      </c>
      <c r="J63" s="1263" t="s">
        <v>479</v>
      </c>
      <c r="K63" s="869" t="s">
        <v>273</v>
      </c>
      <c r="L63" s="870">
        <f>IF(L56&gt;0,ROUND(+L61*L62,2),0)</f>
        <v>660.94</v>
      </c>
      <c r="M63" s="1263" t="s">
        <v>479</v>
      </c>
      <c r="N63" s="869" t="s">
        <v>273</v>
      </c>
      <c r="O63" s="870">
        <f>IF(O56&gt;0,ROUND(+O61*O62,2),0)</f>
        <v>0</v>
      </c>
    </row>
    <row r="64" spans="1:16" ht="7.5" customHeight="1" thickTop="1">
      <c r="B64" s="199"/>
    </row>
    <row r="65" spans="2:15">
      <c r="B65" s="785" t="s">
        <v>22</v>
      </c>
      <c r="C65" s="96" t="s">
        <v>1249</v>
      </c>
    </row>
    <row r="66" spans="2:15">
      <c r="B66" s="199"/>
      <c r="C66" s="1263" t="s">
        <v>376</v>
      </c>
      <c r="D66" s="96" t="s">
        <v>519</v>
      </c>
      <c r="K66" s="794"/>
      <c r="L66" s="871">
        <v>600</v>
      </c>
      <c r="N66" s="794"/>
      <c r="O66" s="871">
        <v>600</v>
      </c>
    </row>
    <row r="67" spans="2:15">
      <c r="B67" s="199"/>
      <c r="C67" s="1263" t="s">
        <v>377</v>
      </c>
      <c r="D67" s="96" t="s">
        <v>1035</v>
      </c>
      <c r="J67" s="1263" t="s">
        <v>477</v>
      </c>
      <c r="K67" s="794"/>
      <c r="L67" s="873">
        <f>IF(AND(500&lt;='Data Entry'!H29,'Data Entry'!H29&lt;600),'Data Entry'!H29,0)</f>
        <v>0</v>
      </c>
      <c r="M67" s="1263" t="s">
        <v>477</v>
      </c>
      <c r="N67" s="794"/>
      <c r="O67" s="873">
        <f>IF(AND(VALUE(LEFT(RIGHT(O1,7),2))=3,('Data Entry'!I29+'Data Entry'!L139)&gt;=500,('Data Entry'!I29+'Data Entry'!L139)&lt;600),('Data Entry'!I29+'Data Entry'!L139),IF(AND('Data Entry'!I29&gt;=500,'Data Entry'!I29&lt;600),'Data Entry'!I29,0))</f>
        <v>0</v>
      </c>
    </row>
    <row r="68" spans="2:15">
      <c r="B68" s="199"/>
      <c r="C68" s="1263" t="s">
        <v>378</v>
      </c>
      <c r="D68" s="96" t="s">
        <v>478</v>
      </c>
      <c r="J68" s="1263" t="s">
        <v>479</v>
      </c>
      <c r="K68" s="794"/>
      <c r="L68" s="873">
        <f>IF(L67&gt;0,+L66-L67,0)</f>
        <v>0</v>
      </c>
      <c r="M68" s="1263" t="s">
        <v>479</v>
      </c>
      <c r="N68" s="794"/>
      <c r="O68" s="873">
        <f>IF(O67&gt;0,+O66-O67,0)</f>
        <v>0</v>
      </c>
    </row>
    <row r="69" spans="2:15">
      <c r="B69" s="199"/>
      <c r="C69" s="1263" t="s">
        <v>454</v>
      </c>
      <c r="D69" s="96" t="s">
        <v>522</v>
      </c>
      <c r="J69" s="1263" t="s">
        <v>480</v>
      </c>
      <c r="K69" s="794"/>
      <c r="L69" s="873">
        <v>1.1999999999999999E-3</v>
      </c>
      <c r="M69" s="1263" t="s">
        <v>480</v>
      </c>
      <c r="N69" s="794"/>
      <c r="O69" s="873">
        <v>1.2999999999999999E-3</v>
      </c>
    </row>
    <row r="70" spans="2:15">
      <c r="B70" s="199"/>
      <c r="C70" s="1263" t="s">
        <v>489</v>
      </c>
      <c r="D70" s="96" t="s">
        <v>524</v>
      </c>
      <c r="J70" s="1263" t="s">
        <v>479</v>
      </c>
      <c r="K70" s="794"/>
      <c r="L70" s="873">
        <f>IF(L67&gt;0,ROUND(+L68*L69,3),0)</f>
        <v>0</v>
      </c>
      <c r="M70" s="1263" t="s">
        <v>479</v>
      </c>
      <c r="N70" s="794"/>
      <c r="O70" s="873">
        <f>IF(O67&gt;0,ROUND(+O68*O69,3),0)</f>
        <v>0</v>
      </c>
    </row>
    <row r="71" spans="2:15">
      <c r="B71" s="199"/>
      <c r="C71" s="1263" t="s">
        <v>490</v>
      </c>
      <c r="D71" s="96" t="s">
        <v>525</v>
      </c>
      <c r="J71" s="1263" t="s">
        <v>481</v>
      </c>
      <c r="K71" s="794"/>
      <c r="L71" s="873">
        <v>1.1579999999999999</v>
      </c>
      <c r="M71" s="1263" t="s">
        <v>481</v>
      </c>
      <c r="N71" s="794"/>
      <c r="O71" s="873">
        <v>1.268</v>
      </c>
    </row>
    <row r="72" spans="2:15">
      <c r="B72" s="199"/>
      <c r="C72" s="1263" t="s">
        <v>491</v>
      </c>
      <c r="D72" s="96" t="s">
        <v>1033</v>
      </c>
      <c r="J72" s="1263" t="s">
        <v>479</v>
      </c>
      <c r="K72" s="794"/>
      <c r="L72" s="873">
        <f>IF(L67&gt;0,+L70+L71,0)</f>
        <v>0</v>
      </c>
      <c r="M72" s="1263" t="s">
        <v>479</v>
      </c>
      <c r="N72" s="794"/>
      <c r="O72" s="873">
        <f>IF(O67&gt;0,+O70+O71,0)</f>
        <v>0</v>
      </c>
    </row>
    <row r="73" spans="2:15">
      <c r="B73" s="199"/>
      <c r="C73" s="1263" t="s">
        <v>492</v>
      </c>
      <c r="D73" s="96" t="s">
        <v>1039</v>
      </c>
      <c r="J73" s="1263" t="s">
        <v>480</v>
      </c>
      <c r="K73" s="865" t="s">
        <v>273</v>
      </c>
      <c r="L73" s="874">
        <v>474.47</v>
      </c>
      <c r="M73" s="1263" t="s">
        <v>480</v>
      </c>
      <c r="N73" s="865" t="s">
        <v>273</v>
      </c>
      <c r="O73" s="874">
        <v>494.39</v>
      </c>
    </row>
    <row r="74" spans="2:15" ht="12.6" thickBot="1">
      <c r="B74" s="199"/>
      <c r="C74" s="1263" t="s">
        <v>493</v>
      </c>
      <c r="D74" s="1263"/>
      <c r="F74" s="96" t="s">
        <v>1038</v>
      </c>
      <c r="J74" s="1263" t="s">
        <v>479</v>
      </c>
      <c r="K74" s="869" t="s">
        <v>273</v>
      </c>
      <c r="L74" s="870">
        <f>IF(L67&gt;0,ROUND(+L72*L73,2),0)</f>
        <v>0</v>
      </c>
      <c r="M74" s="1263" t="s">
        <v>479</v>
      </c>
      <c r="N74" s="869" t="s">
        <v>273</v>
      </c>
      <c r="O74" s="870">
        <f>IF(O67&gt;0,ROUND(+O72*O73,2),0)</f>
        <v>0</v>
      </c>
    </row>
    <row r="75" spans="2:15" ht="7.5" customHeight="1" thickTop="1">
      <c r="B75" s="199"/>
    </row>
    <row r="76" spans="2:15">
      <c r="B76" s="785" t="s">
        <v>40</v>
      </c>
      <c r="C76" s="96" t="s">
        <v>1250</v>
      </c>
    </row>
    <row r="77" spans="2:15" ht="12.6" thickBot="1">
      <c r="F77" s="96" t="s">
        <v>1038</v>
      </c>
      <c r="K77" s="869" t="s">
        <v>273</v>
      </c>
      <c r="L77" s="870">
        <v>549.45000000000005</v>
      </c>
      <c r="N77" s="869" t="s">
        <v>273</v>
      </c>
      <c r="O77" s="870">
        <v>600.86</v>
      </c>
    </row>
    <row r="78" spans="2:15" ht="12.6" thickTop="1">
      <c r="K78" s="1263"/>
      <c r="L78" s="805"/>
      <c r="N78" s="1263"/>
      <c r="O78" s="805"/>
    </row>
    <row r="80" spans="2:15">
      <c r="B80" s="207"/>
      <c r="N80" s="1263"/>
      <c r="O80" s="805"/>
    </row>
    <row r="82" spans="1:19" ht="15.75" customHeight="1">
      <c r="A82" s="1904" t="s">
        <v>494</v>
      </c>
      <c r="B82" s="1904"/>
      <c r="C82" s="1904"/>
      <c r="D82" s="1904"/>
      <c r="E82" s="1904"/>
      <c r="F82" s="1904"/>
      <c r="G82" s="1904"/>
      <c r="H82" s="1904"/>
      <c r="I82" s="1904"/>
      <c r="J82" s="1904"/>
      <c r="K82" s="1904"/>
      <c r="L82" s="1904"/>
      <c r="M82" s="1904"/>
      <c r="N82" s="1904"/>
      <c r="O82" s="1904"/>
      <c r="P82" s="1904"/>
      <c r="Q82" s="1904"/>
      <c r="R82" s="1904"/>
      <c r="S82" s="1904"/>
    </row>
    <row r="83" spans="1:19">
      <c r="B83" s="207" t="s">
        <v>6</v>
      </c>
      <c r="C83" s="96" t="s">
        <v>1251</v>
      </c>
      <c r="Q83" s="865" t="s">
        <v>273</v>
      </c>
      <c r="R83" s="866">
        <f>[1]!GBLBudgFY</f>
        <v>7596681</v>
      </c>
    </row>
    <row r="84" spans="1:19">
      <c r="B84" s="1487" t="s">
        <v>8</v>
      </c>
      <c r="C84" s="96" t="s">
        <v>1252</v>
      </c>
      <c r="Q84" s="865" t="s">
        <v>273</v>
      </c>
      <c r="R84" s="866">
        <f>BUDG75Adj</f>
        <v>0</v>
      </c>
    </row>
    <row r="85" spans="1:19">
      <c r="B85" s="207" t="s">
        <v>22</v>
      </c>
      <c r="C85" s="96" t="s">
        <v>495</v>
      </c>
      <c r="Q85" s="865" t="s">
        <v>273</v>
      </c>
      <c r="R85" s="866">
        <f>R83+R84</f>
        <v>7596681</v>
      </c>
    </row>
    <row r="86" spans="1:19">
      <c r="B86" s="207" t="s">
        <v>40</v>
      </c>
      <c r="C86" s="96" t="s">
        <v>1366</v>
      </c>
      <c r="Q86" s="865" t="s">
        <v>273</v>
      </c>
      <c r="R86" s="866">
        <f>'[1]Page 1'!$L$44</f>
        <v>7596681</v>
      </c>
    </row>
    <row r="87" spans="1:19">
      <c r="B87" s="207" t="s">
        <v>98</v>
      </c>
      <c r="C87" s="96" t="s">
        <v>496</v>
      </c>
      <c r="Q87" s="865" t="s">
        <v>273</v>
      </c>
      <c r="R87" s="866">
        <f>R84</f>
        <v>0</v>
      </c>
    </row>
    <row r="88" spans="1:19">
      <c r="B88" s="207" t="s">
        <v>99</v>
      </c>
      <c r="C88" s="96" t="s">
        <v>497</v>
      </c>
      <c r="Q88" s="865" t="s">
        <v>273</v>
      </c>
      <c r="R88" s="866">
        <f>R86+R87</f>
        <v>7596681</v>
      </c>
    </row>
    <row r="89" spans="1:19">
      <c r="B89" s="207" t="s">
        <v>100</v>
      </c>
      <c r="C89" s="96" t="s">
        <v>498</v>
      </c>
      <c r="Q89" s="865" t="s">
        <v>273</v>
      </c>
      <c r="R89" s="866">
        <f>MIN(R85,R88)</f>
        <v>7596681</v>
      </c>
    </row>
    <row r="90" spans="1:19">
      <c r="B90" s="1488" t="s">
        <v>102</v>
      </c>
      <c r="C90" s="96" t="s">
        <v>1253</v>
      </c>
      <c r="Q90" s="865" t="s">
        <v>273</v>
      </c>
      <c r="R90" s="866">
        <f>PYTotMOActExpend</f>
        <v>5911303</v>
      </c>
    </row>
    <row r="91" spans="1:19" ht="23.25" customHeight="1">
      <c r="B91" s="812" t="s">
        <v>103</v>
      </c>
      <c r="C91" s="1627" t="s">
        <v>1040</v>
      </c>
      <c r="D91" s="1627"/>
      <c r="E91" s="1627"/>
      <c r="F91" s="1627"/>
      <c r="G91" s="1627"/>
      <c r="H91" s="1627"/>
      <c r="I91" s="1627"/>
      <c r="K91" s="865" t="s">
        <v>273</v>
      </c>
      <c r="L91" s="866" t="str">
        <f>IF((R89-R90&lt;0),R89-R90," ")</f>
        <v xml:space="preserve"> </v>
      </c>
      <c r="N91" s="1886" t="str">
        <f>IF(L91&lt;0,"OVEREXPENDED"," ")</f>
        <v xml:space="preserve"> </v>
      </c>
      <c r="O91" s="1886"/>
      <c r="Q91" s="865" t="s">
        <v>273</v>
      </c>
      <c r="R91" s="866">
        <f>IF(R89-R90&gt;0,R89-R90,0)</f>
        <v>1685378</v>
      </c>
    </row>
    <row r="92" spans="1:19">
      <c r="C92" s="1300"/>
      <c r="D92" s="1300"/>
      <c r="E92" s="1300"/>
      <c r="F92" s="1300"/>
      <c r="G92" s="1300"/>
      <c r="H92" s="1300"/>
      <c r="I92" s="1300"/>
    </row>
    <row r="93" spans="1:19">
      <c r="B93" s="116" t="s">
        <v>1254</v>
      </c>
    </row>
    <row r="95" spans="1:19" ht="15.75" customHeight="1">
      <c r="B95" s="1488" t="s">
        <v>104</v>
      </c>
      <c r="C95" s="96" t="s">
        <v>1255</v>
      </c>
      <c r="K95" s="1560" t="s">
        <v>1362</v>
      </c>
      <c r="L95" s="1560"/>
      <c r="N95" s="1560" t="s">
        <v>499</v>
      </c>
      <c r="O95" s="1560"/>
      <c r="Q95" s="1560" t="s">
        <v>500</v>
      </c>
      <c r="R95" s="1560"/>
    </row>
    <row r="96" spans="1:19">
      <c r="C96" s="1263" t="s">
        <v>376</v>
      </c>
      <c r="D96" s="96" t="s">
        <v>501</v>
      </c>
      <c r="K96" s="865" t="s">
        <v>273</v>
      </c>
      <c r="L96" s="866">
        <f>[1]!SpecProgOverride</f>
        <v>0</v>
      </c>
      <c r="M96" s="4" t="s">
        <v>477</v>
      </c>
      <c r="N96" s="865" t="s">
        <v>273</v>
      </c>
      <c r="O96" s="866">
        <f>'Data Entry'!L103</f>
        <v>0</v>
      </c>
      <c r="P96" s="4" t="s">
        <v>479</v>
      </c>
      <c r="Q96" s="865" t="s">
        <v>273</v>
      </c>
      <c r="R96" s="866">
        <f t="shared" ref="R96:R100" si="0">IF(L96-O96&gt;0,L96-O96,0)</f>
        <v>0</v>
      </c>
    </row>
    <row r="97" spans="2:18">
      <c r="C97" s="1263" t="s">
        <v>377</v>
      </c>
      <c r="D97" s="96" t="s">
        <v>502</v>
      </c>
      <c r="K97" s="865" t="s">
        <v>273</v>
      </c>
      <c r="L97" s="866">
        <f>[1]!BudgIncrDesegExp</f>
        <v>0</v>
      </c>
      <c r="M97" s="4" t="s">
        <v>477</v>
      </c>
      <c r="N97" s="865" t="s">
        <v>273</v>
      </c>
      <c r="O97" s="866">
        <f>'Data Entry'!L104</f>
        <v>0</v>
      </c>
      <c r="P97" s="4" t="s">
        <v>479</v>
      </c>
      <c r="Q97" s="865" t="s">
        <v>273</v>
      </c>
      <c r="R97" s="866">
        <f t="shared" si="0"/>
        <v>0</v>
      </c>
    </row>
    <row r="98" spans="2:18">
      <c r="C98" s="191" t="s">
        <v>378</v>
      </c>
      <c r="D98" s="96" t="s">
        <v>453</v>
      </c>
      <c r="K98" s="865" t="s">
        <v>273</v>
      </c>
      <c r="L98" s="866">
        <f>[1]!BudgIncrDropPrevProg</f>
        <v>0</v>
      </c>
      <c r="M98" s="4" t="s">
        <v>477</v>
      </c>
      <c r="N98" s="865" t="s">
        <v>273</v>
      </c>
      <c r="O98" s="866">
        <f>'Data Entry'!L105</f>
        <v>0</v>
      </c>
      <c r="P98" s="4" t="s">
        <v>479</v>
      </c>
      <c r="Q98" s="865" t="s">
        <v>273</v>
      </c>
      <c r="R98" s="866">
        <f t="shared" si="0"/>
        <v>0</v>
      </c>
    </row>
    <row r="99" spans="2:18">
      <c r="C99" s="191" t="s">
        <v>454</v>
      </c>
      <c r="D99" s="96" t="s">
        <v>1154</v>
      </c>
      <c r="K99" s="865" t="s">
        <v>273</v>
      </c>
      <c r="L99" s="866">
        <f>[1]!BudgIncrJCTEVEC</f>
        <v>0</v>
      </c>
      <c r="M99" s="4" t="s">
        <v>477</v>
      </c>
      <c r="N99" s="865" t="s">
        <v>273</v>
      </c>
      <c r="O99" s="866">
        <f>'Data Entry'!L106</f>
        <v>0</v>
      </c>
      <c r="P99" s="4" t="s">
        <v>479</v>
      </c>
      <c r="Q99" s="865" t="s">
        <v>273</v>
      </c>
      <c r="R99" s="866">
        <f t="shared" si="0"/>
        <v>0</v>
      </c>
    </row>
    <row r="100" spans="2:18">
      <c r="C100" s="191" t="s">
        <v>489</v>
      </c>
      <c r="D100" s="96" t="s">
        <v>503</v>
      </c>
      <c r="K100" s="865" t="s">
        <v>273</v>
      </c>
      <c r="L100" s="866" cm="1">
        <f t="array" ref="L100">[1]!PerfPayCrryfwd</f>
        <v>0</v>
      </c>
      <c r="M100" s="4" t="s">
        <v>477</v>
      </c>
      <c r="N100" s="865" t="s">
        <v>273</v>
      </c>
      <c r="O100" s="866">
        <f>'Data Entry'!L107</f>
        <v>0</v>
      </c>
      <c r="P100" s="4" t="s">
        <v>479</v>
      </c>
      <c r="Q100" s="865" t="s">
        <v>273</v>
      </c>
      <c r="R100" s="866">
        <f t="shared" si="0"/>
        <v>0</v>
      </c>
    </row>
    <row r="101" spans="2:18">
      <c r="C101" s="191" t="s">
        <v>490</v>
      </c>
      <c r="D101" s="96" t="s">
        <v>504</v>
      </c>
      <c r="P101" s="4" t="s">
        <v>479</v>
      </c>
      <c r="Q101" s="865" t="s">
        <v>273</v>
      </c>
      <c r="R101" s="866">
        <f>R96+R97+R98+R99+R100</f>
        <v>0</v>
      </c>
    </row>
    <row r="102" spans="2:18">
      <c r="B102" s="207" t="s">
        <v>105</v>
      </c>
      <c r="C102" s="96" t="s">
        <v>1155</v>
      </c>
      <c r="Q102" s="865" t="s">
        <v>273</v>
      </c>
      <c r="R102" s="866">
        <f>IF(R91-R101&gt;0,R91-R101,0)</f>
        <v>1685378</v>
      </c>
    </row>
    <row r="103" spans="2:18" ht="23.25" customHeight="1">
      <c r="B103" s="812" t="s">
        <v>106</v>
      </c>
      <c r="C103" s="1793" t="s">
        <v>1256</v>
      </c>
      <c r="D103" s="1793"/>
      <c r="E103" s="1793"/>
      <c r="F103" s="1793"/>
      <c r="G103" s="1793"/>
      <c r="H103" s="1793"/>
      <c r="I103" s="1793"/>
      <c r="J103" s="1793"/>
      <c r="P103" s="4" t="s">
        <v>477</v>
      </c>
      <c r="Q103" s="865" t="s">
        <v>273</v>
      </c>
      <c r="R103" s="866">
        <f>IF('Data Entry'!L108&gt;0,MIN('Data Entry'!L108,R102),0)</f>
        <v>0</v>
      </c>
    </row>
    <row r="104" spans="2:18">
      <c r="B104" s="207" t="s">
        <v>107</v>
      </c>
      <c r="C104" s="96" t="s">
        <v>1041</v>
      </c>
      <c r="P104" s="96" t="s">
        <v>479</v>
      </c>
      <c r="Q104" s="865" t="s">
        <v>273</v>
      </c>
      <c r="R104" s="866">
        <f>R102-R103</f>
        <v>1685378</v>
      </c>
    </row>
    <row r="106" spans="2:18">
      <c r="B106" s="207" t="s">
        <v>108</v>
      </c>
      <c r="C106" s="96" t="s">
        <v>505</v>
      </c>
    </row>
    <row r="107" spans="2:18">
      <c r="C107" s="1490" t="s">
        <v>376</v>
      </c>
      <c r="D107" s="96" t="s">
        <v>1257</v>
      </c>
      <c r="Q107" s="865" t="s">
        <v>273</v>
      </c>
      <c r="R107" s="866">
        <f>IF(VALUE(LEFT(RIGHT(O1,7),2))=1,PYEndMOCash,0)</f>
        <v>0</v>
      </c>
    </row>
    <row r="108" spans="2:18">
      <c r="C108" s="1263" t="s">
        <v>377</v>
      </c>
      <c r="D108" s="96" t="s">
        <v>1042</v>
      </c>
      <c r="I108" s="1263"/>
      <c r="P108" s="1263" t="s">
        <v>477</v>
      </c>
      <c r="Q108" s="865" t="s">
        <v>273</v>
      </c>
      <c r="R108" s="866">
        <f>IF(AND(VALUE(LEFT(RIGHT(O1,7),2))=1,LessDSLorRCL912&gt;0),R104,0)</f>
        <v>1685378</v>
      </c>
    </row>
    <row r="109" spans="2:18">
      <c r="C109" s="1263" t="s">
        <v>378</v>
      </c>
      <c r="D109" s="96" t="s">
        <v>506</v>
      </c>
      <c r="P109" s="1263" t="s">
        <v>479</v>
      </c>
      <c r="Q109" s="865" t="s">
        <v>273</v>
      </c>
      <c r="R109" s="866">
        <f>R107-R108</f>
        <v>-1685378</v>
      </c>
    </row>
    <row r="110" spans="2:18">
      <c r="B110" s="207" t="s">
        <v>109</v>
      </c>
      <c r="C110" s="96" t="s">
        <v>1156</v>
      </c>
    </row>
    <row r="111" spans="2:18">
      <c r="C111" s="1263" t="s">
        <v>376</v>
      </c>
      <c r="D111" s="96" t="s">
        <v>507</v>
      </c>
      <c r="N111" s="865" t="s">
        <v>273</v>
      </c>
      <c r="O111" s="866">
        <f>R109</f>
        <v>-1685378</v>
      </c>
    </row>
    <row r="112" spans="2:18">
      <c r="C112" s="1490" t="s">
        <v>377</v>
      </c>
      <c r="D112" s="96" t="s">
        <v>1258</v>
      </c>
      <c r="N112" s="865" t="s">
        <v>273</v>
      </c>
      <c r="O112" s="866">
        <f>AccommRCL10</f>
        <v>0</v>
      </c>
    </row>
    <row r="113" spans="1:18">
      <c r="C113" s="1490" t="s">
        <v>378</v>
      </c>
      <c r="D113" s="96" t="s">
        <v>1259</v>
      </c>
      <c r="M113" s="96" t="s">
        <v>481</v>
      </c>
      <c r="N113" s="865" t="s">
        <v>273</v>
      </c>
      <c r="O113" s="866">
        <f>AccommRCL05</f>
        <v>0</v>
      </c>
    </row>
    <row r="114" spans="1:18">
      <c r="C114" s="1263" t="s">
        <v>454</v>
      </c>
      <c r="D114" s="96" t="s">
        <v>508</v>
      </c>
      <c r="M114" s="96" t="s">
        <v>479</v>
      </c>
      <c r="N114" s="865" t="s">
        <v>273</v>
      </c>
      <c r="O114" s="866">
        <f>O112+O113</f>
        <v>0</v>
      </c>
    </row>
    <row r="115" spans="1:18">
      <c r="C115" s="1263" t="s">
        <v>489</v>
      </c>
      <c r="D115" s="96" t="s">
        <v>509</v>
      </c>
      <c r="Q115" s="865" t="s">
        <v>273</v>
      </c>
      <c r="R115" s="866">
        <f>MIN(O111,O114)</f>
        <v>-1685378</v>
      </c>
    </row>
    <row r="117" spans="1:18" s="1" customFormat="1" ht="17.25" customHeight="1">
      <c r="A117" s="1145" t="s">
        <v>510</v>
      </c>
      <c r="B117" s="1143"/>
      <c r="C117" s="1143"/>
      <c r="D117" s="1143"/>
      <c r="E117" s="1143"/>
      <c r="F117" s="1143"/>
      <c r="G117" s="1143"/>
      <c r="H117" s="1143"/>
      <c r="I117" s="1143"/>
      <c r="J117" s="1143"/>
      <c r="K117" s="1143"/>
      <c r="L117" s="1143"/>
    </row>
    <row r="118" spans="1:18">
      <c r="B118" s="1488" t="s">
        <v>6</v>
      </c>
      <c r="C118" s="96" t="s">
        <v>1260</v>
      </c>
      <c r="Q118" s="865" t="s">
        <v>273</v>
      </c>
      <c r="R118" s="866">
        <f>'Data Entry'!L111</f>
        <v>0</v>
      </c>
    </row>
    <row r="119" spans="1:18">
      <c r="B119" s="1488" t="s">
        <v>8</v>
      </c>
      <c r="C119" s="1793" t="s">
        <v>1261</v>
      </c>
      <c r="D119" s="1793"/>
      <c r="E119" s="1793"/>
      <c r="F119" s="1793"/>
      <c r="G119" s="1793"/>
      <c r="H119" s="1793"/>
      <c r="I119" s="1793"/>
      <c r="J119" s="1793"/>
      <c r="K119" s="1793"/>
      <c r="L119" s="1793"/>
    </row>
    <row r="120" spans="1:18">
      <c r="B120" s="207"/>
      <c r="C120" s="1793"/>
      <c r="D120" s="1793"/>
      <c r="E120" s="1793"/>
      <c r="F120" s="1793"/>
      <c r="G120" s="1793"/>
      <c r="H120" s="1793"/>
      <c r="I120" s="1793"/>
      <c r="J120" s="1793"/>
      <c r="K120" s="1793"/>
      <c r="L120" s="1793"/>
      <c r="P120" s="4" t="s">
        <v>477</v>
      </c>
      <c r="Q120" s="865" t="s">
        <v>273</v>
      </c>
      <c r="R120" s="866">
        <f>'Data Entry'!L112</f>
        <v>0</v>
      </c>
    </row>
    <row r="121" spans="1:18">
      <c r="B121" s="207" t="s">
        <v>22</v>
      </c>
      <c r="C121" s="96" t="s">
        <v>456</v>
      </c>
      <c r="N121" s="865" t="s">
        <v>273</v>
      </c>
      <c r="O121" s="866">
        <f>IF('Data Entry'!L111&gt;0,CYTRCL-TSL,0)</f>
        <v>0</v>
      </c>
      <c r="P121" s="4"/>
    </row>
    <row r="122" spans="1:18" ht="24" customHeight="1">
      <c r="B122" s="1488" t="s">
        <v>40</v>
      </c>
      <c r="C122" s="1627" t="s">
        <v>1262</v>
      </c>
      <c r="D122" s="1627"/>
      <c r="E122" s="1627"/>
      <c r="F122" s="1627"/>
      <c r="G122" s="1627"/>
      <c r="H122" s="1627"/>
      <c r="I122" s="1627"/>
      <c r="J122" s="1627"/>
      <c r="K122" s="1627"/>
      <c r="L122" s="1627"/>
      <c r="M122" s="1627"/>
      <c r="N122" s="1627"/>
      <c r="P122" s="4" t="s">
        <v>477</v>
      </c>
      <c r="Q122" s="865" t="s">
        <v>273</v>
      </c>
      <c r="R122" s="866">
        <f>'Data Entry'!L113</f>
        <v>0</v>
      </c>
    </row>
    <row r="123" spans="1:18">
      <c r="B123" s="1488" t="s">
        <v>98</v>
      </c>
      <c r="C123" s="96" t="s">
        <v>1263</v>
      </c>
      <c r="P123" s="4" t="s">
        <v>477</v>
      </c>
      <c r="Q123" s="865" t="s">
        <v>273</v>
      </c>
      <c r="R123" s="866">
        <f>'Data Entry'!L114</f>
        <v>0</v>
      </c>
    </row>
    <row r="124" spans="1:18">
      <c r="B124" s="1488" t="s">
        <v>99</v>
      </c>
      <c r="C124" s="96" t="s">
        <v>1264</v>
      </c>
      <c r="P124" s="4" t="s">
        <v>481</v>
      </c>
      <c r="Q124" s="865" t="s">
        <v>273</v>
      </c>
      <c r="R124" s="866">
        <f>'Data Entry'!L115</f>
        <v>0</v>
      </c>
    </row>
    <row r="125" spans="1:18" ht="11.25" customHeight="1">
      <c r="B125" s="812" t="s">
        <v>100</v>
      </c>
      <c r="C125" s="1627" t="s">
        <v>1265</v>
      </c>
      <c r="D125" s="1627"/>
      <c r="E125" s="1627"/>
      <c r="F125" s="1627"/>
      <c r="G125" s="1627"/>
      <c r="H125" s="1627"/>
      <c r="I125" s="1627"/>
      <c r="J125" s="1627"/>
      <c r="P125" s="4" t="s">
        <v>479</v>
      </c>
      <c r="Q125" s="865" t="s">
        <v>273</v>
      </c>
      <c r="R125" s="866">
        <f>R118-R120-R122-R123+R124</f>
        <v>0</v>
      </c>
    </row>
    <row r="129" spans="1:33" ht="13.8">
      <c r="A129" s="830" t="s">
        <v>511</v>
      </c>
    </row>
    <row r="131" spans="1:33" ht="34.5" customHeight="1">
      <c r="A131" s="1870" t="s">
        <v>512</v>
      </c>
      <c r="B131" s="1870"/>
      <c r="C131" s="1870"/>
      <c r="D131" s="1870"/>
      <c r="E131" s="1870"/>
      <c r="F131" s="1870"/>
      <c r="G131" s="1870"/>
      <c r="H131" s="1870"/>
      <c r="I131" s="1870"/>
      <c r="J131" s="1870"/>
      <c r="K131" s="1870"/>
      <c r="L131" s="1870"/>
      <c r="M131" s="1870"/>
      <c r="N131" s="1870"/>
      <c r="O131" s="1870"/>
      <c r="P131" s="1870"/>
      <c r="Q131" s="1870"/>
      <c r="R131" s="1870"/>
    </row>
    <row r="133" spans="1:33" ht="43.5" customHeight="1">
      <c r="A133" s="1627" t="s">
        <v>1266</v>
      </c>
      <c r="B133" s="1627"/>
      <c r="C133" s="1627"/>
      <c r="D133" s="1627"/>
      <c r="E133" s="1627"/>
      <c r="F133" s="1627"/>
      <c r="G133" s="1627"/>
      <c r="H133" s="1627"/>
      <c r="I133" s="1627"/>
      <c r="J133" s="1627"/>
      <c r="K133" s="1627"/>
      <c r="L133" s="1627"/>
      <c r="M133" s="1627"/>
      <c r="N133" s="1627"/>
      <c r="O133" s="1627"/>
      <c r="P133" s="1627"/>
      <c r="Q133" s="1627"/>
      <c r="R133" s="1627"/>
      <c r="S133" s="443"/>
      <c r="AF133" s="1208" t="s">
        <v>513</v>
      </c>
      <c r="AG133" s="1208" t="s">
        <v>887</v>
      </c>
    </row>
    <row r="135" spans="1:33">
      <c r="B135" s="207" t="s">
        <v>6</v>
      </c>
      <c r="C135" s="96" t="s">
        <v>514</v>
      </c>
      <c r="W135" s="116"/>
      <c r="Y135" s="210" t="s">
        <v>515</v>
      </c>
    </row>
    <row r="136" spans="1:33">
      <c r="C136" s="120" t="s">
        <v>376</v>
      </c>
      <c r="D136" s="875" t="s">
        <v>516</v>
      </c>
      <c r="Q136" s="865" t="s">
        <v>273</v>
      </c>
      <c r="R136" s="866">
        <v>150000</v>
      </c>
      <c r="T136" s="1869" t="s">
        <v>517</v>
      </c>
      <c r="U136" s="1869"/>
      <c r="Y136" s="748" t="s">
        <v>518</v>
      </c>
      <c r="Z136" s="210" t="s">
        <v>515</v>
      </c>
    </row>
    <row r="137" spans="1:33">
      <c r="C137" s="120" t="s">
        <v>377</v>
      </c>
      <c r="D137" s="1" t="s">
        <v>1267</v>
      </c>
      <c r="O137" s="762">
        <f>IF(AND(SSAPhaseDownCheckbox="X",SSAFYExceeded&lt;2000,UnweightedStudCntK8PY&gt;125,UnweightedStudCntK8PY&lt;154),UnweightedStudCntK8PY,0)</f>
        <v>0</v>
      </c>
      <c r="T137" s="96" t="s">
        <v>519</v>
      </c>
      <c r="Y137" s="762">
        <v>500</v>
      </c>
      <c r="Z137" s="762">
        <v>500</v>
      </c>
    </row>
    <row r="138" spans="1:33">
      <c r="C138" s="120" t="s">
        <v>378</v>
      </c>
      <c r="D138" s="875" t="s">
        <v>520</v>
      </c>
      <c r="N138" s="4" t="s">
        <v>477</v>
      </c>
      <c r="O138" s="762">
        <v>125</v>
      </c>
      <c r="T138" s="96" t="s">
        <v>1268</v>
      </c>
      <c r="X138" s="1263" t="s">
        <v>477</v>
      </c>
      <c r="Y138" s="762">
        <f>IF(AND(SSAPhaseDownCheckbox="X",SmallIsolatedPSD8Checkbox="X"),O137,0)</f>
        <v>0</v>
      </c>
      <c r="Z138" s="762">
        <f>IF(AND(SSAPhaseDownCheckbox="X",SmallIsolatedPSD8Checkbox&lt;&gt;"X"),O137,0)</f>
        <v>0</v>
      </c>
    </row>
    <row r="139" spans="1:33">
      <c r="C139" s="120" t="s">
        <v>454</v>
      </c>
      <c r="D139" s="875" t="s">
        <v>521</v>
      </c>
      <c r="N139" s="4" t="s">
        <v>479</v>
      </c>
      <c r="O139" s="762">
        <f>IF(O137&gt;0,O137-O138,0)</f>
        <v>0</v>
      </c>
      <c r="U139" s="96" t="s">
        <v>478</v>
      </c>
      <c r="X139" s="1263" t="s">
        <v>479</v>
      </c>
      <c r="Y139" s="762">
        <f>IF(Y138&gt;0,Y137-Y138,0)</f>
        <v>0</v>
      </c>
      <c r="Z139" s="762">
        <f>IF(Z138&gt;0,Z137-Z138,0)</f>
        <v>0</v>
      </c>
    </row>
    <row r="140" spans="1:33">
      <c r="C140" s="120" t="s">
        <v>489</v>
      </c>
      <c r="D140" s="875" t="s">
        <v>1043</v>
      </c>
      <c r="N140" s="4" t="s">
        <v>480</v>
      </c>
      <c r="O140" s="762">
        <f>IF(AND(O137&gt;0,SSAPhaseDownCheckbox="X",SmallIsolatedPSD8Checkbox="X"),Y143,IF(AND(O137&gt;0,SSAPhaseDownCheckbox="X",SmallIsolatedPSD8Checkbox&lt;&gt;"X"),Z143,0))</f>
        <v>0</v>
      </c>
      <c r="U140" s="96" t="s">
        <v>522</v>
      </c>
      <c r="X140" s="1263" t="s">
        <v>480</v>
      </c>
      <c r="Y140" s="762">
        <v>5.0000000000000001E-4</v>
      </c>
      <c r="Z140" s="762">
        <v>2.9999999999999997E-4</v>
      </c>
    </row>
    <row r="141" spans="1:33">
      <c r="C141" s="120" t="s">
        <v>490</v>
      </c>
      <c r="D141" s="875" t="s">
        <v>523</v>
      </c>
      <c r="N141" s="4" t="s">
        <v>479</v>
      </c>
      <c r="O141" s="762">
        <f>ROUND(O139*O140,3)</f>
        <v>0</v>
      </c>
      <c r="U141" s="96" t="s">
        <v>524</v>
      </c>
      <c r="X141" s="1263" t="s">
        <v>479</v>
      </c>
      <c r="Y141" s="762">
        <f>Y139*Y140</f>
        <v>0</v>
      </c>
      <c r="Z141" s="762">
        <f>Z139*Z140</f>
        <v>0</v>
      </c>
    </row>
    <row r="142" spans="1:33">
      <c r="C142" s="120" t="s">
        <v>491</v>
      </c>
      <c r="D142" s="875" t="s">
        <v>1044</v>
      </c>
      <c r="N142" s="4" t="s">
        <v>480</v>
      </c>
      <c r="O142" s="800">
        <f>IF(O137&gt;0,'Data Entry'!L65,0)</f>
        <v>0</v>
      </c>
      <c r="U142" s="96" t="s">
        <v>525</v>
      </c>
      <c r="X142" s="1263" t="s">
        <v>481</v>
      </c>
      <c r="Y142" s="825">
        <v>1.3580000000000001</v>
      </c>
      <c r="Z142" s="825">
        <v>1.278</v>
      </c>
    </row>
    <row r="143" spans="1:33">
      <c r="C143" s="120" t="s">
        <v>492</v>
      </c>
      <c r="D143" s="875" t="s">
        <v>526</v>
      </c>
      <c r="P143" s="4" t="s">
        <v>477</v>
      </c>
      <c r="Q143" s="865" t="s">
        <v>273</v>
      </c>
      <c r="R143" s="866">
        <f>ROUND(O141*O142,2)</f>
        <v>0</v>
      </c>
      <c r="T143" s="96" t="s">
        <v>1269</v>
      </c>
      <c r="X143" s="1263" t="s">
        <v>479</v>
      </c>
      <c r="Y143" s="762">
        <f>IF(Y138&gt;0,Y141+Y142,0)</f>
        <v>0</v>
      </c>
      <c r="Z143" s="762">
        <f>IF(Z138&gt;0,Z141+Z142,0)</f>
        <v>0</v>
      </c>
    </row>
    <row r="144" spans="1:33">
      <c r="C144" s="120" t="s">
        <v>493</v>
      </c>
      <c r="D144" s="875" t="s">
        <v>527</v>
      </c>
      <c r="Q144" s="865" t="s">
        <v>273</v>
      </c>
      <c r="R144" s="866">
        <f>IF(O137&gt;0,R136-R143,0)</f>
        <v>0</v>
      </c>
    </row>
    <row r="146" spans="1:26" ht="23.25" customHeight="1">
      <c r="A146" s="119"/>
      <c r="B146" s="812" t="s">
        <v>8</v>
      </c>
      <c r="C146" s="1793" t="s">
        <v>528</v>
      </c>
      <c r="D146" s="1793"/>
      <c r="E146" s="1793"/>
      <c r="F146" s="1793"/>
      <c r="G146" s="1793"/>
      <c r="H146" s="1793"/>
      <c r="I146" s="1793"/>
      <c r="J146" s="1793"/>
      <c r="K146" s="1793"/>
      <c r="L146" s="1793"/>
      <c r="M146" s="1793"/>
      <c r="N146" s="1793"/>
      <c r="O146" s="1793"/>
      <c r="P146" s="1793"/>
      <c r="Q146" s="1793"/>
      <c r="R146" s="1291"/>
      <c r="W146" s="116"/>
      <c r="Y146" s="210" t="s">
        <v>515</v>
      </c>
    </row>
    <row r="147" spans="1:26">
      <c r="C147" s="120" t="s">
        <v>376</v>
      </c>
      <c r="D147" s="875" t="s">
        <v>516</v>
      </c>
      <c r="Q147" s="865" t="s">
        <v>273</v>
      </c>
      <c r="R147" s="866">
        <v>350000</v>
      </c>
      <c r="T147" s="1869" t="s">
        <v>529</v>
      </c>
      <c r="U147" s="1869"/>
      <c r="Y147" s="748" t="s">
        <v>518</v>
      </c>
      <c r="Z147" s="210" t="s">
        <v>515</v>
      </c>
    </row>
    <row r="148" spans="1:26">
      <c r="C148" s="120" t="s">
        <v>377</v>
      </c>
      <c r="D148" s="1" t="s">
        <v>1270</v>
      </c>
      <c r="O148" s="762">
        <f>IF(AND(SSAPhaseDownCheckbox="X",SSAFYExceeded&lt;2000,UnweightedStudCnt912PY&gt;100,UnweightedStudCnt912PY&lt;176),UnweightedStudCnt912PY,0)</f>
        <v>0</v>
      </c>
      <c r="T148" s="96" t="s">
        <v>519</v>
      </c>
      <c r="Y148" s="762">
        <v>500</v>
      </c>
      <c r="Z148" s="762">
        <v>500</v>
      </c>
    </row>
    <row r="149" spans="1:26">
      <c r="C149" s="120" t="s">
        <v>378</v>
      </c>
      <c r="D149" s="875" t="s">
        <v>520</v>
      </c>
      <c r="N149" s="4" t="s">
        <v>477</v>
      </c>
      <c r="O149" s="762">
        <v>100</v>
      </c>
      <c r="T149" s="96" t="s">
        <v>1271</v>
      </c>
      <c r="X149" s="1263" t="s">
        <v>477</v>
      </c>
      <c r="Y149" s="762">
        <f>IF(AND(SSAPhaseDownCheckbox="X",SmallIsolated912Checkbox="X"),O148,0)</f>
        <v>0</v>
      </c>
      <c r="Z149" s="762">
        <f>IF(AND(SSAPhaseDownCheckbox="X",SmallIsolated912Checkbox&lt;&gt;"X"),O148,0)</f>
        <v>0</v>
      </c>
    </row>
    <row r="150" spans="1:26">
      <c r="C150" s="120" t="s">
        <v>454</v>
      </c>
      <c r="D150" s="875" t="s">
        <v>521</v>
      </c>
      <c r="N150" s="4" t="s">
        <v>479</v>
      </c>
      <c r="O150" s="762">
        <f>IF(O148&gt;0,O148-O149,0)</f>
        <v>0</v>
      </c>
      <c r="U150" s="96" t="s">
        <v>478</v>
      </c>
      <c r="X150" s="1263" t="s">
        <v>479</v>
      </c>
      <c r="Y150" s="762">
        <f>IF(Y149&gt;0,Y148-Y149,0)</f>
        <v>0</v>
      </c>
      <c r="Z150" s="762">
        <f>IF(Z149&gt;0,Z148-Z149,0)</f>
        <v>0</v>
      </c>
    </row>
    <row r="151" spans="1:26">
      <c r="C151" s="120" t="s">
        <v>489</v>
      </c>
      <c r="D151" s="875" t="s">
        <v>530</v>
      </c>
      <c r="N151" s="4" t="s">
        <v>480</v>
      </c>
      <c r="O151" s="762">
        <f>IF(AND(O148&gt;0,SSAPhaseDownCheckbox="X",SmallIsolatedPSD8Checkbox="X"),Y154,IF(AND(O148&gt;0,SSAPhaseDownCheckbox="X",SmallIsolatedPSD8Checkbox&lt;&gt;"X"),Z154,0))</f>
        <v>0</v>
      </c>
      <c r="U151" s="96" t="s">
        <v>522</v>
      </c>
      <c r="X151" s="1263" t="s">
        <v>480</v>
      </c>
      <c r="Y151" s="762">
        <v>5.0000000000000001E-4</v>
      </c>
      <c r="Z151" s="762">
        <v>4.0000000000000002E-4</v>
      </c>
    </row>
    <row r="152" spans="1:26">
      <c r="C152" s="120" t="s">
        <v>490</v>
      </c>
      <c r="D152" s="875" t="s">
        <v>523</v>
      </c>
      <c r="N152" s="4" t="s">
        <v>479</v>
      </c>
      <c r="O152" s="762">
        <f>ROUND(O150*O151,30)</f>
        <v>0</v>
      </c>
      <c r="U152" s="96" t="s">
        <v>524</v>
      </c>
      <c r="X152" s="1263" t="s">
        <v>479</v>
      </c>
      <c r="Y152" s="762">
        <f>Y150*Y151</f>
        <v>0</v>
      </c>
      <c r="Z152" s="762">
        <f>Z150*Z151</f>
        <v>0</v>
      </c>
    </row>
    <row r="153" spans="1:26">
      <c r="C153" s="120" t="s">
        <v>491</v>
      </c>
      <c r="D153" s="875" t="s">
        <v>1044</v>
      </c>
      <c r="N153" s="4" t="s">
        <v>480</v>
      </c>
      <c r="O153" s="800">
        <f>IF(O148&gt;0,'Data Entry'!L65,0)</f>
        <v>0</v>
      </c>
      <c r="U153" s="96" t="s">
        <v>525</v>
      </c>
      <c r="X153" s="1263" t="s">
        <v>481</v>
      </c>
      <c r="Y153" s="825">
        <v>1.468</v>
      </c>
      <c r="Z153" s="825">
        <v>1.3979999999999999</v>
      </c>
    </row>
    <row r="154" spans="1:26">
      <c r="C154" s="120" t="s">
        <v>492</v>
      </c>
      <c r="D154" s="875" t="s">
        <v>526</v>
      </c>
      <c r="P154" s="96" t="s">
        <v>477</v>
      </c>
      <c r="Q154" s="865" t="s">
        <v>273</v>
      </c>
      <c r="R154" s="866">
        <f>ROUND(O152*O153,2)</f>
        <v>0</v>
      </c>
      <c r="T154" s="96" t="s">
        <v>1272</v>
      </c>
      <c r="X154" s="1263" t="s">
        <v>479</v>
      </c>
      <c r="Y154" s="762">
        <f>IF(Y149&gt;0,Y152+Y153,0)</f>
        <v>0</v>
      </c>
      <c r="Z154" s="762">
        <f>IF(Z149&gt;0,Z152+Z153,0)</f>
        <v>0</v>
      </c>
    </row>
    <row r="155" spans="1:26">
      <c r="C155" s="120" t="s">
        <v>493</v>
      </c>
      <c r="D155" s="875" t="s">
        <v>531</v>
      </c>
      <c r="Q155" s="865" t="s">
        <v>273</v>
      </c>
      <c r="R155" s="866">
        <f>IF(O148&gt;0,R147-R154,0)</f>
        <v>0</v>
      </c>
    </row>
    <row r="157" spans="1:26" ht="23.25" customHeight="1">
      <c r="A157" s="119"/>
      <c r="B157" s="1491" t="s">
        <v>22</v>
      </c>
      <c r="C157" s="1793" t="s">
        <v>532</v>
      </c>
      <c r="D157" s="1793"/>
      <c r="E157" s="1793"/>
      <c r="F157" s="1793"/>
      <c r="G157" s="1793"/>
      <c r="H157" s="1793"/>
      <c r="I157" s="1793"/>
      <c r="J157" s="1793"/>
      <c r="K157" s="1793"/>
      <c r="L157" s="1793"/>
      <c r="M157" s="1793"/>
      <c r="N157" s="1793"/>
      <c r="O157" s="1793"/>
      <c r="P157" s="1291"/>
      <c r="Q157" s="865" t="s">
        <v>273</v>
      </c>
      <c r="R157" s="866">
        <f>SSAPDRCL10</f>
        <v>0</v>
      </c>
    </row>
    <row r="158" spans="1:26">
      <c r="B158" s="207" t="s">
        <v>40</v>
      </c>
      <c r="C158" s="96" t="s">
        <v>533</v>
      </c>
      <c r="Q158" s="865" t="s">
        <v>273</v>
      </c>
      <c r="R158" s="866">
        <f>R144+R155+R157</f>
        <v>0</v>
      </c>
    </row>
    <row r="159" spans="1:26">
      <c r="B159" s="207" t="s">
        <v>98</v>
      </c>
      <c r="C159" s="96" t="s">
        <v>534</v>
      </c>
      <c r="Q159" s="865" t="s">
        <v>273</v>
      </c>
      <c r="R159" s="866">
        <f>IF(R158&gt;0,RCL*0.1,0)</f>
        <v>0</v>
      </c>
    </row>
    <row r="160" spans="1:26">
      <c r="B160" s="207" t="s">
        <v>99</v>
      </c>
      <c r="C160" s="96" t="s">
        <v>535</v>
      </c>
      <c r="Q160" s="865" t="s">
        <v>273</v>
      </c>
      <c r="R160" s="866">
        <f>MAX(R158,R159)</f>
        <v>0</v>
      </c>
    </row>
    <row r="163" spans="1:32" ht="30" customHeight="1">
      <c r="A163" s="1871" t="s">
        <v>536</v>
      </c>
      <c r="B163" s="1871"/>
      <c r="C163" s="1871"/>
      <c r="D163" s="1871"/>
      <c r="E163" s="1871"/>
      <c r="F163" s="1871"/>
      <c r="G163" s="1871"/>
      <c r="H163" s="1871"/>
      <c r="I163" s="1871"/>
      <c r="J163" s="1871"/>
      <c r="K163" s="1871"/>
      <c r="L163" s="1871"/>
      <c r="M163" s="1871"/>
      <c r="N163" s="1871"/>
      <c r="O163" s="1871"/>
      <c r="P163" s="1871"/>
      <c r="Q163" s="1871"/>
      <c r="R163" s="1871"/>
    </row>
    <row r="165" spans="1:32" ht="34.5" customHeight="1">
      <c r="A165" s="1870" t="s">
        <v>537</v>
      </c>
      <c r="B165" s="1870"/>
      <c r="C165" s="1870"/>
      <c r="D165" s="1870"/>
      <c r="E165" s="1870"/>
      <c r="F165" s="1870"/>
      <c r="G165" s="1870"/>
      <c r="H165" s="1870"/>
      <c r="I165" s="1870"/>
      <c r="J165" s="1870"/>
      <c r="K165" s="1870"/>
      <c r="L165" s="1870"/>
      <c r="M165" s="1870"/>
      <c r="N165" s="1870"/>
      <c r="O165" s="1870"/>
      <c r="P165" s="1870"/>
      <c r="Q165" s="1870"/>
      <c r="R165" s="1870"/>
    </row>
    <row r="167" spans="1:32" ht="34.5" customHeight="1">
      <c r="A167" s="1627" t="s">
        <v>1273</v>
      </c>
      <c r="B167" s="1627"/>
      <c r="C167" s="1627"/>
      <c r="D167" s="1627"/>
      <c r="E167" s="1627"/>
      <c r="F167" s="1627"/>
      <c r="G167" s="1627"/>
      <c r="H167" s="1627"/>
      <c r="I167" s="1627"/>
      <c r="J167" s="1627"/>
      <c r="K167" s="1627"/>
      <c r="L167" s="1627"/>
      <c r="M167" s="1627"/>
      <c r="N167" s="1627"/>
      <c r="O167" s="1627"/>
      <c r="P167" s="1627"/>
      <c r="Q167" s="1627"/>
      <c r="R167" s="1627"/>
      <c r="S167" s="443"/>
      <c r="AF167" s="1208" t="s">
        <v>888</v>
      </c>
    </row>
    <row r="169" spans="1:32">
      <c r="B169" s="207" t="s">
        <v>6</v>
      </c>
      <c r="C169" s="96" t="s">
        <v>538</v>
      </c>
    </row>
    <row r="170" spans="1:32">
      <c r="C170" s="191" t="s">
        <v>376</v>
      </c>
      <c r="D170" s="96" t="s">
        <v>1267</v>
      </c>
      <c r="O170" s="762">
        <f>IF(AND(SSAPhaseDownCheckbox="X",SSAFYExceeded&gt;=2000,UnweightedStudCntK8PY&gt;125,UnweightedStudCntK8PY&lt;181),UnweightedStudCntK8PY,0)</f>
        <v>0</v>
      </c>
    </row>
    <row r="171" spans="1:32">
      <c r="C171" s="1263" t="s">
        <v>377</v>
      </c>
      <c r="D171" s="96" t="s">
        <v>520</v>
      </c>
      <c r="N171" s="4" t="s">
        <v>477</v>
      </c>
      <c r="O171" s="762">
        <v>125</v>
      </c>
    </row>
    <row r="172" spans="1:32">
      <c r="C172" s="1263" t="s">
        <v>378</v>
      </c>
      <c r="D172" s="96" t="s">
        <v>521</v>
      </c>
      <c r="N172" s="4" t="s">
        <v>479</v>
      </c>
      <c r="O172" s="762">
        <f>IF(O170&gt;0,O170-O171,0)</f>
        <v>0</v>
      </c>
    </row>
    <row r="173" spans="1:32">
      <c r="C173" s="1263" t="s">
        <v>454</v>
      </c>
      <c r="D173" s="96" t="s">
        <v>539</v>
      </c>
      <c r="N173" s="4" t="s">
        <v>480</v>
      </c>
      <c r="O173" s="762">
        <v>4.4999999999999997E-3</v>
      </c>
    </row>
    <row r="174" spans="1:32">
      <c r="C174" s="1263" t="s">
        <v>489</v>
      </c>
      <c r="D174" s="96" t="s">
        <v>540</v>
      </c>
      <c r="N174" s="4" t="s">
        <v>479</v>
      </c>
      <c r="O174" s="762">
        <f>ROUND(O172*O173,3)</f>
        <v>0</v>
      </c>
    </row>
    <row r="175" spans="1:32">
      <c r="C175" s="1263" t="s">
        <v>490</v>
      </c>
      <c r="D175" s="96" t="s">
        <v>541</v>
      </c>
      <c r="N175" s="4"/>
      <c r="O175" s="762">
        <f>IF(O170&gt;0,0.35-O174,0)</f>
        <v>0</v>
      </c>
    </row>
    <row r="176" spans="1:32">
      <c r="C176" s="1263" t="s">
        <v>491</v>
      </c>
      <c r="D176" s="1200" t="s">
        <v>542</v>
      </c>
      <c r="E176" s="1201"/>
      <c r="F176" s="1201"/>
      <c r="N176" s="4" t="s">
        <v>480</v>
      </c>
      <c r="O176" s="800">
        <f>IF(O170&gt;0,DSLRCLPSD8,0)</f>
        <v>0</v>
      </c>
    </row>
    <row r="177" spans="2:25">
      <c r="C177" s="1263" t="s">
        <v>492</v>
      </c>
      <c r="D177" s="96" t="s">
        <v>1157</v>
      </c>
      <c r="Q177" s="865" t="s">
        <v>273</v>
      </c>
      <c r="R177" s="866">
        <f>IF(O175*O176&gt;0,ROUND(O175*O176,2),0)</f>
        <v>0</v>
      </c>
    </row>
    <row r="179" spans="2:25">
      <c r="B179" s="207" t="s">
        <v>8</v>
      </c>
      <c r="C179" s="96" t="s">
        <v>543</v>
      </c>
    </row>
    <row r="180" spans="2:25">
      <c r="C180" s="191" t="s">
        <v>376</v>
      </c>
      <c r="D180" s="96" t="s">
        <v>1270</v>
      </c>
      <c r="O180" s="762">
        <f>IF(AND(SSAPhaseDownCheckbox="X",SSAFYExceeded&gt;=2000,UnweightedStudCnt912PY&gt;100,UnweightedStudCnt912PY&lt;185),UnweightedStudCnt912PY,0)</f>
        <v>0</v>
      </c>
    </row>
    <row r="181" spans="2:25">
      <c r="C181" s="1263" t="s">
        <v>377</v>
      </c>
      <c r="D181" s="96" t="s">
        <v>520</v>
      </c>
      <c r="N181" s="4" t="s">
        <v>477</v>
      </c>
      <c r="O181" s="762">
        <v>100</v>
      </c>
    </row>
    <row r="182" spans="2:25">
      <c r="C182" s="1263" t="s">
        <v>378</v>
      </c>
      <c r="D182" s="96" t="s">
        <v>521</v>
      </c>
      <c r="N182" s="4" t="s">
        <v>479</v>
      </c>
      <c r="O182" s="762">
        <f>IF(O180&gt;0,O180-O181,0)</f>
        <v>0</v>
      </c>
    </row>
    <row r="183" spans="2:25">
      <c r="C183" s="1263" t="s">
        <v>454</v>
      </c>
      <c r="D183" s="96" t="s">
        <v>539</v>
      </c>
      <c r="N183" s="4" t="s">
        <v>480</v>
      </c>
      <c r="O183" s="762">
        <v>6.4999999999999997E-3</v>
      </c>
    </row>
    <row r="184" spans="2:25">
      <c r="C184" s="1263" t="s">
        <v>489</v>
      </c>
      <c r="D184" s="96" t="s">
        <v>540</v>
      </c>
      <c r="N184" s="4" t="s">
        <v>479</v>
      </c>
      <c r="O184" s="762">
        <f>ROUND(O182*O183,3)</f>
        <v>0</v>
      </c>
    </row>
    <row r="185" spans="2:25">
      <c r="C185" s="1263" t="s">
        <v>490</v>
      </c>
      <c r="D185" s="96" t="s">
        <v>1158</v>
      </c>
      <c r="N185" s="4"/>
      <c r="O185" s="762">
        <f>IF(O180&gt;0,0.65-O184,0)</f>
        <v>0</v>
      </c>
    </row>
    <row r="186" spans="2:25">
      <c r="C186" s="1263" t="s">
        <v>491</v>
      </c>
      <c r="D186" s="876" t="s">
        <v>544</v>
      </c>
      <c r="E186" s="876"/>
      <c r="F186" s="876"/>
      <c r="N186" s="4" t="s">
        <v>480</v>
      </c>
      <c r="O186" s="800">
        <f>IF(O180&gt;0,DSLRCL912,0)</f>
        <v>0</v>
      </c>
    </row>
    <row r="187" spans="2:25">
      <c r="C187" s="1263" t="s">
        <v>492</v>
      </c>
      <c r="D187" s="96" t="s">
        <v>1159</v>
      </c>
      <c r="Q187" s="865" t="s">
        <v>273</v>
      </c>
      <c r="R187" s="866">
        <f>IF(O185*O186&gt;0,ROUND(O185*O186,2),0)</f>
        <v>0</v>
      </c>
    </row>
    <row r="188" spans="2:25">
      <c r="U188" s="1843" t="s">
        <v>1160</v>
      </c>
      <c r="V188" s="1843"/>
      <c r="W188" s="1843"/>
      <c r="X188" s="1843"/>
      <c r="Y188" s="204"/>
    </row>
    <row r="189" spans="2:25" ht="23.25" customHeight="1">
      <c r="B189" s="1491" t="s">
        <v>22</v>
      </c>
      <c r="C189" s="1793" t="s">
        <v>532</v>
      </c>
      <c r="D189" s="1793"/>
      <c r="E189" s="1793"/>
      <c r="F189" s="1793"/>
      <c r="G189" s="1793"/>
      <c r="H189" s="1793"/>
      <c r="I189" s="1793"/>
      <c r="J189" s="1793"/>
      <c r="K189" s="1793"/>
      <c r="L189" s="1793"/>
      <c r="M189" s="1793"/>
      <c r="N189" s="1793"/>
      <c r="O189" s="1793"/>
      <c r="Q189" s="865" t="s">
        <v>273</v>
      </c>
      <c r="R189" s="866">
        <f>SSAPDRCL10</f>
        <v>0</v>
      </c>
      <c r="U189" s="1866" t="s">
        <v>545</v>
      </c>
      <c r="V189" s="1867"/>
      <c r="W189" s="1867"/>
      <c r="X189" s="1868"/>
      <c r="Y189" s="94">
        <f>IF(AND(SSAPhaseDownCheckbox="X",SSAFYExceeded&gt;=2000,UnweightedStudCnt912PY&gt;100,UnweightedStudCnt912PY&lt;185),('BSA55'!G144*RCL),0)</f>
        <v>0</v>
      </c>
    </row>
    <row r="190" spans="2:25">
      <c r="B190" s="207" t="s">
        <v>40</v>
      </c>
      <c r="C190" s="295" t="s">
        <v>1161</v>
      </c>
      <c r="D190" s="295"/>
      <c r="E190" s="295"/>
      <c r="F190" s="295"/>
      <c r="G190" s="295"/>
      <c r="H190" s="295"/>
      <c r="I190" s="295"/>
      <c r="J190" s="500"/>
      <c r="Q190" s="865" t="s">
        <v>273</v>
      </c>
      <c r="R190" s="866">
        <f>R177+R187+R189</f>
        <v>0</v>
      </c>
      <c r="U190" s="1866" t="s">
        <v>546</v>
      </c>
      <c r="V190" s="1867"/>
      <c r="W190" s="1867"/>
      <c r="X190" s="1868"/>
      <c r="Y190" s="877">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7" t="s">
        <v>98</v>
      </c>
      <c r="C191" s="96" t="s">
        <v>534</v>
      </c>
      <c r="Q191" s="865" t="s">
        <v>273</v>
      </c>
      <c r="R191" s="866">
        <f>IF(R190&gt;0,DSLRCLTotal*0.1,0)</f>
        <v>0</v>
      </c>
      <c r="U191" s="1866" t="s">
        <v>547</v>
      </c>
      <c r="V191" s="1867"/>
      <c r="W191" s="1867"/>
      <c r="X191" s="1868"/>
      <c r="Y191" s="94">
        <f>IF(AND(SSAPhaseDownCheckbox="X",SSAFYExceeded&gt;=2000,UnweightedStudCnt912PY&gt;100,UnweightedStudCnt912PY&lt;185),RCL,0)</f>
        <v>0</v>
      </c>
    </row>
    <row r="192" spans="2:25" ht="12.75" customHeight="1">
      <c r="B192" s="207" t="s">
        <v>99</v>
      </c>
      <c r="C192" s="295" t="s">
        <v>1162</v>
      </c>
      <c r="Q192" s="865" t="s">
        <v>273</v>
      </c>
      <c r="R192" s="866">
        <f>MAX(R190,R191)</f>
        <v>0</v>
      </c>
      <c r="U192" s="1866" t="s">
        <v>548</v>
      </c>
      <c r="V192" s="1867"/>
      <c r="W192" s="1867"/>
      <c r="X192" s="1868"/>
      <c r="Y192" s="94">
        <f>Y190*Y191</f>
        <v>0</v>
      </c>
    </row>
    <row r="193" spans="1:25">
      <c r="U193" s="1866" t="s">
        <v>549</v>
      </c>
      <c r="V193" s="1867"/>
      <c r="W193" s="1867"/>
      <c r="X193" s="1868"/>
      <c r="Y193" s="878">
        <f>Y189-Y192</f>
        <v>0</v>
      </c>
    </row>
    <row r="194" spans="1:25">
      <c r="U194" s="1866" t="s">
        <v>550</v>
      </c>
      <c r="V194" s="1867"/>
      <c r="W194" s="1867"/>
      <c r="X194" s="1868"/>
      <c r="Y194" s="878">
        <f>Y193*0.1</f>
        <v>0</v>
      </c>
    </row>
    <row r="197" spans="1:25" ht="31.5" customHeight="1">
      <c r="A197" s="1897" t="s">
        <v>551</v>
      </c>
      <c r="B197" s="1897"/>
      <c r="C197" s="1897"/>
      <c r="D197" s="1897"/>
      <c r="E197" s="1897"/>
      <c r="F197" s="1897"/>
      <c r="G197" s="1897"/>
      <c r="H197" s="1897"/>
      <c r="I197" s="1897"/>
      <c r="J197" s="1897"/>
      <c r="K197" s="1897"/>
      <c r="L197" s="1897"/>
      <c r="M197" s="1897"/>
      <c r="N197" s="1897"/>
      <c r="O197" s="1897"/>
      <c r="P197" s="1897"/>
      <c r="Q197" s="1897"/>
      <c r="R197" s="1897"/>
      <c r="S197" s="1897"/>
    </row>
    <row r="199" spans="1:25" ht="24.75" customHeight="1">
      <c r="B199" s="1870" t="s">
        <v>552</v>
      </c>
      <c r="C199" s="1870"/>
      <c r="D199" s="1870"/>
      <c r="E199" s="1870"/>
      <c r="F199" s="1870"/>
      <c r="G199" s="1870"/>
      <c r="H199" s="1870"/>
      <c r="I199" s="1870"/>
      <c r="J199" s="1870"/>
      <c r="K199" s="1870"/>
      <c r="L199" s="1870"/>
      <c r="M199" s="1870"/>
      <c r="N199" s="1870"/>
      <c r="O199" s="1870"/>
      <c r="P199" s="1870"/>
      <c r="Q199" s="1870"/>
      <c r="R199" s="1870"/>
    </row>
    <row r="201" spans="1:25">
      <c r="B201" s="207" t="s">
        <v>6</v>
      </c>
      <c r="C201" s="96" t="s">
        <v>463</v>
      </c>
      <c r="R201" s="800">
        <f>'Data Entry'!L128</f>
        <v>0</v>
      </c>
    </row>
    <row r="202" spans="1:25">
      <c r="B202" s="207" t="s">
        <v>8</v>
      </c>
      <c r="C202" s="96" t="s">
        <v>553</v>
      </c>
      <c r="Q202" s="96" t="s">
        <v>480</v>
      </c>
      <c r="R202" s="800">
        <v>0.05</v>
      </c>
    </row>
    <row r="203" spans="1:25">
      <c r="B203" s="207" t="s">
        <v>22</v>
      </c>
      <c r="C203" s="96" t="s">
        <v>554</v>
      </c>
      <c r="Q203" s="96" t="s">
        <v>479</v>
      </c>
      <c r="R203" s="825">
        <f>IF(R201&gt;0,R201*R202,0)</f>
        <v>0</v>
      </c>
    </row>
    <row r="204" spans="1:25" ht="23.25" customHeight="1">
      <c r="B204" s="812" t="s">
        <v>40</v>
      </c>
      <c r="C204" s="1627" t="s">
        <v>555</v>
      </c>
      <c r="D204" s="1627"/>
      <c r="E204" s="1627"/>
      <c r="F204" s="1627"/>
      <c r="G204" s="1627"/>
      <c r="H204" s="1627"/>
      <c r="I204" s="1627"/>
      <c r="J204" s="1627"/>
      <c r="K204" s="1627"/>
      <c r="L204" s="1627"/>
      <c r="R204" s="825">
        <f>'Data Entry'!L129</f>
        <v>0</v>
      </c>
    </row>
    <row r="206" spans="1:25">
      <c r="B206" s="116" t="s">
        <v>556</v>
      </c>
    </row>
    <row r="208" spans="1:25">
      <c r="B208" s="207" t="s">
        <v>98</v>
      </c>
      <c r="C208" s="879" t="s">
        <v>557</v>
      </c>
      <c r="R208" s="800">
        <f>'Data Entry'!L130</f>
        <v>0</v>
      </c>
    </row>
    <row r="209" spans="2:18">
      <c r="B209" s="207" t="s">
        <v>99</v>
      </c>
      <c r="C209" s="879" t="s">
        <v>558</v>
      </c>
      <c r="Q209" s="4" t="s">
        <v>477</v>
      </c>
      <c r="R209" s="800">
        <f>'Data Entry'!L131</f>
        <v>0</v>
      </c>
    </row>
    <row r="210" spans="2:18">
      <c r="B210" s="207" t="s">
        <v>100</v>
      </c>
      <c r="C210" s="879" t="s">
        <v>559</v>
      </c>
      <c r="Q210" s="96" t="s">
        <v>479</v>
      </c>
      <c r="R210" s="800">
        <f>IF(R208-R209&gt;0,R208-R209,0)</f>
        <v>0</v>
      </c>
    </row>
    <row r="211" spans="2:18">
      <c r="B211" s="207" t="s">
        <v>102</v>
      </c>
      <c r="C211" s="879" t="s">
        <v>560</v>
      </c>
      <c r="L211" s="1263" t="s">
        <v>561</v>
      </c>
      <c r="N211" s="1263" t="s">
        <v>480</v>
      </c>
      <c r="O211" s="800">
        <v>0.75</v>
      </c>
      <c r="Q211" s="96" t="s">
        <v>479</v>
      </c>
      <c r="R211" s="800">
        <f>IF(OR(Cover!FiscalYear='Data Entry'!L127+1,Cover!FiscalYear='Data Entry'!L127+2,Cover!FiscalYear='Data Entry'!L127+3),R210*O211,0)</f>
        <v>0</v>
      </c>
    </row>
    <row r="212" spans="2:18">
      <c r="B212" s="207" t="s">
        <v>103</v>
      </c>
      <c r="C212" s="879" t="s">
        <v>562</v>
      </c>
      <c r="L212" s="1263" t="s">
        <v>563</v>
      </c>
      <c r="N212" s="1263" t="s">
        <v>480</v>
      </c>
      <c r="O212" s="800">
        <v>0.5</v>
      </c>
      <c r="Q212" s="96" t="s">
        <v>479</v>
      </c>
      <c r="R212" s="800">
        <f>IF(OR(Cover!FiscalYear='Data Entry'!L127+2,Cover!FiscalYear='Data Entry'!L127+3),R210*O211,0)</f>
        <v>0</v>
      </c>
    </row>
    <row r="213" spans="2:18">
      <c r="B213" s="207" t="s">
        <v>104</v>
      </c>
      <c r="C213" s="879" t="s">
        <v>564</v>
      </c>
      <c r="L213" s="1263" t="s">
        <v>565</v>
      </c>
      <c r="N213" s="1263" t="s">
        <v>480</v>
      </c>
      <c r="O213" s="800">
        <v>0.25</v>
      </c>
      <c r="Q213" s="96" t="s">
        <v>479</v>
      </c>
      <c r="R213" s="800">
        <f>IF(Cover!FiscalYear='Data Entry'!L127+3,R210*O211,0)</f>
        <v>0</v>
      </c>
    </row>
    <row r="214" spans="2:18">
      <c r="B214" s="207" t="s">
        <v>105</v>
      </c>
      <c r="C214" s="879" t="s">
        <v>566</v>
      </c>
      <c r="R214" s="800">
        <f>R211+R212+R213</f>
        <v>0</v>
      </c>
    </row>
    <row r="215" spans="2:18">
      <c r="C215" s="879"/>
    </row>
    <row r="216" spans="2:18" ht="34.5" customHeight="1">
      <c r="B216" s="1870" t="s">
        <v>567</v>
      </c>
      <c r="C216" s="1870"/>
      <c r="D216" s="1870"/>
      <c r="E216" s="1870"/>
      <c r="F216" s="1870"/>
      <c r="G216" s="1870"/>
      <c r="H216" s="1870"/>
      <c r="I216" s="1870"/>
      <c r="J216" s="1870"/>
      <c r="K216" s="1870"/>
      <c r="L216" s="1870"/>
      <c r="M216" s="1870"/>
      <c r="N216" s="1870"/>
      <c r="O216" s="1870"/>
      <c r="P216" s="1870"/>
      <c r="Q216" s="1870"/>
      <c r="R216" s="1870"/>
    </row>
    <row r="218" spans="2:18">
      <c r="B218" s="207" t="s">
        <v>106</v>
      </c>
      <c r="C218" s="96" t="s">
        <v>568</v>
      </c>
    </row>
    <row r="219" spans="2:18">
      <c r="C219" s="1263" t="s">
        <v>376</v>
      </c>
      <c r="D219" s="879" t="s">
        <v>569</v>
      </c>
      <c r="Q219" s="865" t="s">
        <v>273</v>
      </c>
      <c r="R219" s="866">
        <f>IF(AND('Data Entry'!C133="X",'Data Entry'!L129&gt;=500,Cover!FiscalYear='Data Entry'!L127+1),650000,0)</f>
        <v>0</v>
      </c>
    </row>
    <row r="220" spans="2:18">
      <c r="C220" s="1263" t="s">
        <v>377</v>
      </c>
      <c r="D220" s="879" t="s">
        <v>570</v>
      </c>
      <c r="Q220" s="865" t="s">
        <v>273</v>
      </c>
      <c r="R220" s="866">
        <f>IF(AND('Data Entry'!C133="X",'Data Entry'!L129&gt;=500,Cover!FiscalYear='Data Entry'!L127+2),600000,0)</f>
        <v>0</v>
      </c>
    </row>
    <row r="221" spans="2:18">
      <c r="C221" s="1263" t="s">
        <v>378</v>
      </c>
      <c r="D221" s="879" t="s">
        <v>571</v>
      </c>
      <c r="Q221" s="865" t="s">
        <v>273</v>
      </c>
      <c r="R221" s="866">
        <f>IF(AND('Data Entry'!C133="X",'Data Entry'!L129&gt;=500,Cover!FiscalYear='Data Entry'!L127+3),500000,0)</f>
        <v>0</v>
      </c>
    </row>
    <row r="222" spans="2:18">
      <c r="C222" s="1263" t="s">
        <v>454</v>
      </c>
      <c r="D222" s="879" t="s">
        <v>572</v>
      </c>
      <c r="Q222" s="865" t="s">
        <v>273</v>
      </c>
      <c r="R222" s="866">
        <f>IF(AND('Data Entry'!C133="X",'Data Entry'!L129&gt;=500,Cover!FiscalYear='Data Entry'!L127+4),300000,0)</f>
        <v>0</v>
      </c>
    </row>
    <row r="223" spans="2:18">
      <c r="C223" s="1263" t="s">
        <v>489</v>
      </c>
      <c r="D223" s="879" t="s">
        <v>573</v>
      </c>
      <c r="Q223" s="865" t="s">
        <v>273</v>
      </c>
      <c r="R223" s="866">
        <f>IF(AND('Data Entry'!C133="X",'Data Entry'!L129&gt;=500,Cover!FiscalYear='Data Entry'!L127+5),100000,0)</f>
        <v>0</v>
      </c>
    </row>
    <row r="224" spans="2:18">
      <c r="B224" s="207" t="s">
        <v>107</v>
      </c>
      <c r="C224" s="96" t="s">
        <v>574</v>
      </c>
    </row>
    <row r="225" spans="1:18">
      <c r="C225" s="1263" t="s">
        <v>376</v>
      </c>
      <c r="D225" s="879" t="s">
        <v>575</v>
      </c>
      <c r="Q225" s="865" t="s">
        <v>273</v>
      </c>
      <c r="R225" s="866">
        <f>IF(AND(VALUE(LEFT(RIGHT(O1,7),2))=5,'Data Entry'!C133="X",'Data Entry'!L129&gt;=50,Cover!FiscalYear='Data Entry'!L127+1),100000,0)</f>
        <v>0</v>
      </c>
    </row>
    <row r="226" spans="1:18">
      <c r="C226" s="1263" t="s">
        <v>377</v>
      </c>
      <c r="D226" s="879" t="s">
        <v>576</v>
      </c>
      <c r="Q226" s="865" t="s">
        <v>273</v>
      </c>
      <c r="R226" s="866">
        <f>IF(AND(VALUE(LEFT(RIGHT(O1,7),2))=5,'Data Entry'!C133="X",'Data Entry'!L135&gt;=50,Cover!FiscalYear='Data Entry'!L127+2),200000,0)</f>
        <v>0</v>
      </c>
    </row>
    <row r="227" spans="1:18">
      <c r="C227" s="1263" t="s">
        <v>378</v>
      </c>
      <c r="D227" s="879" t="s">
        <v>577</v>
      </c>
      <c r="Q227" s="865" t="s">
        <v>273</v>
      </c>
      <c r="R227" s="866">
        <f>IF(AND(VALUE(LEFT(RIGHT(O1,7),2))=5,'Data Entry'!C133="X",'Data Entry'!L136&gt;=50,Cover!FiscalYear='Data Entry'!L127+3),325000,0)</f>
        <v>0</v>
      </c>
    </row>
    <row r="228" spans="1:18">
      <c r="C228" s="1263" t="s">
        <v>454</v>
      </c>
      <c r="D228" s="879" t="s">
        <v>578</v>
      </c>
      <c r="Q228" s="865" t="s">
        <v>273</v>
      </c>
      <c r="R228" s="866">
        <f>IF(AND(VALUE(LEFT(RIGHT(O1,7),2))=5,'Data Entry'!C133="X",Cover!FiscalYear='Data Entry'!L127+4),200000,0)</f>
        <v>0</v>
      </c>
    </row>
    <row r="229" spans="1:18">
      <c r="C229" s="1263" t="s">
        <v>489</v>
      </c>
      <c r="D229" s="879" t="s">
        <v>579</v>
      </c>
      <c r="Q229" s="865" t="s">
        <v>273</v>
      </c>
      <c r="R229" s="866">
        <f>IF(AND(VALUE(LEFT(RIGHT(O1,7),2))=5,'Data Entry'!C133="X",Cover!FiscalYear='Data Entry'!L127+5),100000,0)</f>
        <v>0</v>
      </c>
    </row>
    <row r="232" spans="1:18" ht="15.75" customHeight="1">
      <c r="A232" s="830" t="s">
        <v>580</v>
      </c>
      <c r="B232" s="830"/>
      <c r="C232" s="830"/>
      <c r="D232" s="830"/>
      <c r="E232" s="830"/>
      <c r="F232" s="830"/>
      <c r="G232" s="830"/>
      <c r="H232" s="830"/>
      <c r="I232" s="830"/>
      <c r="J232" s="830"/>
      <c r="K232" s="830"/>
      <c r="L232" s="830"/>
    </row>
    <row r="233" spans="1:18" ht="8.25" customHeight="1"/>
    <row r="234" spans="1:18">
      <c r="B234" s="207" t="s">
        <v>6</v>
      </c>
      <c r="C234" s="880" t="s">
        <v>581</v>
      </c>
      <c r="Q234" s="865" t="s">
        <v>273</v>
      </c>
      <c r="R234" s="866">
        <f>F001P530</f>
        <v>0</v>
      </c>
    </row>
    <row r="235" spans="1:18">
      <c r="B235" s="207" t="s">
        <v>8</v>
      </c>
      <c r="C235" s="881" t="s">
        <v>582</v>
      </c>
      <c r="Q235" s="865" t="s">
        <v>273</v>
      </c>
      <c r="R235" s="866">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7" t="s">
        <v>22</v>
      </c>
      <c r="C236" s="880" t="s">
        <v>583</v>
      </c>
      <c r="Q236" s="865" t="s">
        <v>273</v>
      </c>
      <c r="R236" s="866">
        <f>'Truth in Tax'!I31</f>
        <v>0</v>
      </c>
    </row>
    <row r="237" spans="1:18">
      <c r="B237" s="207" t="s">
        <v>40</v>
      </c>
      <c r="C237" s="880" t="s">
        <v>584</v>
      </c>
      <c r="Q237" s="865" t="s">
        <v>273</v>
      </c>
      <c r="R237" s="866">
        <f>F001P540</f>
        <v>0</v>
      </c>
    </row>
    <row r="238" spans="1:18">
      <c r="B238" s="207" t="s">
        <v>98</v>
      </c>
      <c r="C238" s="880" t="s">
        <v>585</v>
      </c>
      <c r="Q238" s="865" t="s">
        <v>273</v>
      </c>
      <c r="R238" s="866">
        <f>'Truth in Tax'!I29</f>
        <v>0</v>
      </c>
    </row>
    <row r="239" spans="1:18" ht="23.25" customHeight="1">
      <c r="B239" s="812" t="s">
        <v>99</v>
      </c>
      <c r="C239" s="1627" t="s">
        <v>586</v>
      </c>
      <c r="D239" s="1627"/>
      <c r="E239" s="1627"/>
      <c r="F239" s="1627"/>
      <c r="G239" s="1627"/>
      <c r="H239" s="1627"/>
      <c r="I239" s="1627"/>
      <c r="J239" s="1627"/>
      <c r="K239" s="1627"/>
      <c r="L239" s="1627"/>
      <c r="Q239" s="865" t="s">
        <v>273</v>
      </c>
      <c r="R239" s="866">
        <f>IF(AND(SSA_MO&lt;=50000,OR('Data Entry'!Y29=1,'Data Entry'!Z29=1)),SSA_MO,0)</f>
        <v>0</v>
      </c>
    </row>
  </sheetData>
  <sheetProtection sheet="1" formatCells="0" formatColumns="0" formatRows="0"/>
  <mergeCells count="65">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 ref="A197:S197"/>
    <mergeCell ref="K95:L95"/>
    <mergeCell ref="A167:R167"/>
    <mergeCell ref="C91:I91"/>
    <mergeCell ref="C103:J103"/>
    <mergeCell ref="C122:N122"/>
    <mergeCell ref="A133:R133"/>
    <mergeCell ref="C119:L120"/>
    <mergeCell ref="C125:J125"/>
    <mergeCell ref="A131:R131"/>
    <mergeCell ref="C189:O189"/>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T39:V40"/>
    <mergeCell ref="J11:K11"/>
    <mergeCell ref="J12:K12"/>
    <mergeCell ref="J13:K13"/>
    <mergeCell ref="J14:K14"/>
    <mergeCell ref="J15:K15"/>
    <mergeCell ref="T33:V33"/>
    <mergeCell ref="J31:K31"/>
    <mergeCell ref="J28:K28"/>
    <mergeCell ref="T136:U136"/>
    <mergeCell ref="T147:U147"/>
    <mergeCell ref="C146:Q146"/>
    <mergeCell ref="C157:O157"/>
    <mergeCell ref="A165:R165"/>
    <mergeCell ref="A163:R163"/>
    <mergeCell ref="U194:X194"/>
    <mergeCell ref="U188:X188"/>
    <mergeCell ref="U189:X189"/>
    <mergeCell ref="U190:X190"/>
    <mergeCell ref="U191:X191"/>
    <mergeCell ref="U192:X192"/>
    <mergeCell ref="U193:X193"/>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customProperties>
    <customPr name="OrphanNamesChecke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abSelected="1" zoomScaleNormal="100" workbookViewId="0"/>
  </sheetViews>
  <sheetFormatPr defaultColWidth="8.81640625" defaultRowHeight="15" customHeight="1"/>
  <cols>
    <col min="1" max="1" width="34.81640625" style="97" customWidth="1"/>
    <col min="2" max="2" width="9.81640625" style="97" customWidth="1"/>
    <col min="3" max="4" width="9" style="97" customWidth="1"/>
    <col min="5" max="5" width="11.81640625" style="97" customWidth="1"/>
    <col min="6" max="6" width="13.81640625" style="97" customWidth="1"/>
    <col min="7" max="7" width="11.81640625" style="97" customWidth="1"/>
    <col min="8" max="8" width="11.453125" style="97" customWidth="1"/>
    <col min="9" max="9" width="10.81640625" style="97" customWidth="1"/>
    <col min="10" max="10" width="10" style="97" customWidth="1"/>
    <col min="11" max="11" width="10.81640625" style="97" customWidth="1"/>
    <col min="12" max="12" width="15.453125" style="97" bestFit="1" customWidth="1"/>
    <col min="13" max="13" width="10" style="126" bestFit="1" customWidth="1"/>
    <col min="14" max="26" width="8.81640625" style="97" customWidth="1"/>
    <col min="27" max="27" width="8.81640625" style="149" customWidth="1"/>
    <col min="28" max="33" width="8.81640625" style="97" customWidth="1"/>
    <col min="34" max="16384" width="8.81640625" style="97"/>
  </cols>
  <sheetData>
    <row r="1" spans="1:27" ht="15" customHeight="1">
      <c r="A1" s="882" t="s">
        <v>56</v>
      </c>
      <c r="B1" s="1916" t="str">
        <f>DistrictName</f>
        <v>Mary C O'Brien Accommodation District</v>
      </c>
      <c r="C1" s="1916"/>
      <c r="D1" s="1916"/>
      <c r="E1" s="1916"/>
      <c r="F1" s="882" t="s">
        <v>1</v>
      </c>
      <c r="G1" s="1915" t="str">
        <f>Cover!H1</f>
        <v>Pinal</v>
      </c>
      <c r="H1" s="1916"/>
      <c r="I1" s="1916"/>
      <c r="K1" s="882" t="s">
        <v>57</v>
      </c>
      <c r="L1" s="1917" t="str">
        <f>CTD</f>
        <v>110100000</v>
      </c>
      <c r="M1" s="1917"/>
      <c r="AA1" s="126"/>
    </row>
    <row r="2" spans="1:27" ht="15" customHeight="1">
      <c r="A2" s="1305"/>
      <c r="B2" s="1305"/>
      <c r="C2" s="351"/>
      <c r="D2" s="4"/>
      <c r="E2" s="1305"/>
      <c r="F2" s="351"/>
      <c r="G2" s="4"/>
      <c r="H2" s="4"/>
      <c r="I2" s="96"/>
      <c r="K2" s="882" t="s">
        <v>16</v>
      </c>
      <c r="L2" s="1867" t="str">
        <f>Version</f>
        <v>Proposed</v>
      </c>
      <c r="M2" s="1867"/>
      <c r="AA2" s="126"/>
    </row>
    <row r="3" spans="1:27" ht="15" customHeight="1">
      <c r="A3" s="1468" t="s">
        <v>682</v>
      </c>
      <c r="C3" s="883"/>
      <c r="D3" s="1845" t="str">
        <f>IF(DistrictName&lt;&gt;0,DistrictName,"")</f>
        <v>Mary C O'Brien Accommodation District</v>
      </c>
      <c r="E3" s="1845"/>
      <c r="F3" s="1845"/>
      <c r="G3" s="1845"/>
      <c r="H3" s="1845"/>
      <c r="I3" s="883"/>
      <c r="J3" s="883"/>
      <c r="K3" s="883"/>
      <c r="L3" s="883"/>
      <c r="M3" s="883"/>
      <c r="AA3" s="126"/>
    </row>
    <row r="4" spans="1:27" ht="34.5" customHeight="1">
      <c r="C4" s="309"/>
      <c r="D4" s="1905" t="s">
        <v>587</v>
      </c>
      <c r="E4" s="1905"/>
      <c r="F4" s="1905"/>
      <c r="G4" s="1905"/>
      <c r="H4" s="1905"/>
      <c r="I4" s="309"/>
      <c r="J4" s="309"/>
      <c r="K4" s="309"/>
      <c r="L4" s="309"/>
      <c r="M4" s="309"/>
      <c r="AA4" s="126"/>
    </row>
    <row r="5" spans="1:27" ht="15" customHeight="1" thickBot="1">
      <c r="A5" s="858"/>
      <c r="B5" s="858"/>
      <c r="C5" s="884"/>
      <c r="D5" s="884"/>
      <c r="E5" s="858"/>
      <c r="F5" s="885" t="s">
        <v>588</v>
      </c>
      <c r="G5" s="886" t="str">
        <f>IF(AND(SmallIsolatedPSD8Checkbox="X",SmallIsolated912Checkbox="X"),"Both Elementary and High School",IF(SmallIsolatedPSD8Checkbox="X","Elementary",IF(SmallIsolated912Checkbox="X","High School","Not Isolated")))</f>
        <v>Not Isolated</v>
      </c>
      <c r="H5" s="858"/>
      <c r="I5" s="858"/>
      <c r="J5" s="858"/>
      <c r="K5" s="884"/>
      <c r="L5" s="887" t="s">
        <v>589</v>
      </c>
      <c r="M5" s="887" t="s">
        <v>590</v>
      </c>
      <c r="AA5" s="126"/>
    </row>
    <row r="6" spans="1:27" ht="26.25" customHeight="1">
      <c r="A6" s="888" t="s">
        <v>591</v>
      </c>
      <c r="B6" s="96"/>
      <c r="C6" s="889" t="s">
        <v>592</v>
      </c>
      <c r="D6" s="889" t="s">
        <v>593</v>
      </c>
      <c r="E6" s="889" t="s">
        <v>594</v>
      </c>
      <c r="F6" s="889" t="s">
        <v>476</v>
      </c>
      <c r="G6" s="889" t="s">
        <v>595</v>
      </c>
      <c r="H6" s="889" t="s">
        <v>596</v>
      </c>
      <c r="I6" s="889" t="s">
        <v>597</v>
      </c>
      <c r="AA6" s="126"/>
    </row>
    <row r="7" spans="1:27" ht="15" customHeight="1">
      <c r="A7" s="890" t="s">
        <v>419</v>
      </c>
      <c r="B7" s="96"/>
      <c r="C7" s="891">
        <f>NonAOIStudCntPSDCY</f>
        <v>0</v>
      </c>
      <c r="D7" s="891">
        <f>AOIFTStudCntPSDCY</f>
        <v>0</v>
      </c>
      <c r="E7" s="892">
        <f>AOIPTStudCntPSDCY</f>
        <v>0</v>
      </c>
      <c r="F7" s="893">
        <f>IF(AND(C7=0,D7=0,E7=0),0,1.45)</f>
        <v>0</v>
      </c>
      <c r="G7" s="892">
        <f>NonAOIStudCntPSDCY*F7</f>
        <v>0</v>
      </c>
      <c r="H7" s="892">
        <f>AOIFTStudCntPSDCY*F7</f>
        <v>0</v>
      </c>
      <c r="I7" s="892">
        <f>AOIPTStudCntPSDCY*F7</f>
        <v>0</v>
      </c>
      <c r="AA7" s="126"/>
    </row>
    <row r="8" spans="1:27" ht="15" customHeight="1">
      <c r="A8" s="890" t="s">
        <v>598</v>
      </c>
      <c r="B8" s="96"/>
      <c r="C8" s="891">
        <f>NonAOIStudCntK8CY</f>
        <v>115.88</v>
      </c>
      <c r="D8" s="891">
        <f>AOIFTStudCntK8CY</f>
        <v>0</v>
      </c>
      <c r="E8" s="892">
        <f>AOIPTStudCntK8CY</f>
        <v>0</v>
      </c>
      <c r="F8" s="893">
        <f>IF(UnweightedStudCntK8CY&gt;0,AA13,0)</f>
        <v>1.3932</v>
      </c>
      <c r="G8" s="892">
        <f>NonAOIStudCntK8CY*F8</f>
        <v>161.44399999999999</v>
      </c>
      <c r="H8" s="892">
        <f>AOIFTStudCntK8CY*F8</f>
        <v>0</v>
      </c>
      <c r="I8" s="892">
        <f>AOIPTStudCntK8CY*F8</f>
        <v>0</v>
      </c>
      <c r="AA8" s="126"/>
    </row>
    <row r="9" spans="1:27" ht="15" customHeight="1">
      <c r="A9" s="890" t="s">
        <v>421</v>
      </c>
      <c r="B9" s="96"/>
      <c r="C9" s="891">
        <f>NonAOIStudCnt912CY</f>
        <v>74.778300000000002</v>
      </c>
      <c r="D9" s="894">
        <f>AOIFTStudCnt912CY</f>
        <v>0</v>
      </c>
      <c r="E9" s="892">
        <f>AOIPTStudCnt912CY</f>
        <v>0</v>
      </c>
      <c r="F9" s="893">
        <f>IF(VALUE(LEFT(RIGHT(L1,7),2))=8,SuppLvlWgt912NonIsolated,IF(UnweightedStudCnt912CY&gt;0,AA15,0))</f>
        <v>1.5589999999999999</v>
      </c>
      <c r="G9" s="892">
        <f>NonAOIStudCnt912CY*F9</f>
        <v>116.57940000000001</v>
      </c>
      <c r="H9" s="895">
        <f>AOIFTStudCnt912CY*F9</f>
        <v>0</v>
      </c>
      <c r="I9" s="892">
        <f>AOIPTStudCnt912CY*F9</f>
        <v>0</v>
      </c>
      <c r="AA9" s="126"/>
    </row>
    <row r="10" spans="1:27" ht="15" customHeight="1">
      <c r="A10" s="1294" t="s">
        <v>599</v>
      </c>
      <c r="B10" s="96"/>
      <c r="C10" s="896">
        <f>TotalNonAOIStudCntCY</f>
        <v>190.6583</v>
      </c>
      <c r="D10" s="896">
        <f>TotalAOIFTStudCntCY</f>
        <v>0</v>
      </c>
      <c r="E10" s="897">
        <f>TotalAOIPTStudCntCY</f>
        <v>0</v>
      </c>
      <c r="F10" s="892"/>
      <c r="G10" s="892"/>
      <c r="H10" s="895"/>
      <c r="I10" s="892"/>
      <c r="AA10" s="126"/>
    </row>
    <row r="11" spans="1:27" ht="15" customHeight="1">
      <c r="A11" s="1294" t="s">
        <v>600</v>
      </c>
      <c r="B11" s="96"/>
      <c r="C11" s="892"/>
      <c r="D11" s="892"/>
      <c r="E11" s="897">
        <f>SUM(C10:E10)</f>
        <v>190.6583</v>
      </c>
      <c r="F11" s="892"/>
      <c r="G11" s="892"/>
      <c r="H11" s="892"/>
      <c r="I11" s="892"/>
      <c r="AA11" s="126"/>
    </row>
    <row r="12" spans="1:27" ht="15" customHeight="1">
      <c r="A12" s="1294" t="s">
        <v>601</v>
      </c>
      <c r="B12" s="96"/>
      <c r="C12" s="892"/>
      <c r="D12" s="892"/>
      <c r="E12" s="892"/>
      <c r="F12" s="892"/>
      <c r="G12" s="897">
        <f>((C7*F7)+(C8*F8)+(C9*F9))</f>
        <v>278.02339999999998</v>
      </c>
      <c r="H12" s="897">
        <f>((D7*F7)+(D8*F8)+(D9*F9))</f>
        <v>0</v>
      </c>
      <c r="I12" s="897">
        <f>((E7*F7)+(E8*F8)+(E9*F9))</f>
        <v>0</v>
      </c>
      <c r="AA12" s="126"/>
    </row>
    <row r="13" spans="1:27" ht="15" customHeight="1">
      <c r="A13" s="898" t="s">
        <v>602</v>
      </c>
      <c r="B13" s="206"/>
      <c r="C13" s="895"/>
      <c r="D13" s="895"/>
      <c r="E13" s="895"/>
      <c r="F13" s="895"/>
      <c r="G13" s="895"/>
      <c r="H13" s="895"/>
      <c r="I13" s="899">
        <f>(((C7+D7+E7)*F7)+((C8+D8+E8)*F8)+((C9+D9+E9)*F9))</f>
        <v>278.02339999999998</v>
      </c>
      <c r="J13" s="145"/>
      <c r="K13" s="145"/>
      <c r="L13" s="145"/>
      <c r="M13" s="900"/>
      <c r="AA13" s="901">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1.3932</v>
      </c>
    </row>
    <row r="14" spans="1:27" ht="7.5" customHeight="1" thickBot="1">
      <c r="A14" s="902"/>
      <c r="B14" s="858"/>
      <c r="C14" s="903"/>
      <c r="D14" s="903"/>
      <c r="E14" s="903"/>
      <c r="F14" s="903"/>
      <c r="G14" s="903"/>
      <c r="H14" s="903"/>
      <c r="I14" s="904"/>
      <c r="J14" s="884"/>
      <c r="K14" s="884"/>
      <c r="L14" s="884"/>
      <c r="M14" s="905"/>
      <c r="AA14" s="906"/>
    </row>
    <row r="15" spans="1:27" s="145" customFormat="1" ht="7.5" customHeight="1">
      <c r="A15" s="206"/>
      <c r="B15" s="206"/>
      <c r="C15" s="206"/>
      <c r="D15" s="206"/>
      <c r="E15" s="206"/>
      <c r="F15" s="206"/>
      <c r="G15" s="206"/>
      <c r="H15" s="206"/>
      <c r="I15" s="206"/>
      <c r="M15" s="900"/>
      <c r="AA15" s="907">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8" t="s">
        <v>603</v>
      </c>
      <c r="B16" s="269"/>
      <c r="C16" s="889" t="s">
        <v>592</v>
      </c>
      <c r="D16" s="889" t="s">
        <v>593</v>
      </c>
      <c r="E16" s="889" t="s">
        <v>594</v>
      </c>
      <c r="F16" s="889" t="s">
        <v>476</v>
      </c>
      <c r="G16" s="889" t="s">
        <v>595</v>
      </c>
      <c r="H16" s="889" t="s">
        <v>596</v>
      </c>
      <c r="I16" s="889" t="s">
        <v>597</v>
      </c>
      <c r="AA16" s="126"/>
    </row>
    <row r="17" spans="1:27" ht="15" customHeight="1">
      <c r="A17" s="283" t="s">
        <v>427</v>
      </c>
      <c r="B17" s="269"/>
      <c r="C17" s="892">
        <f>NonAOIStudCntELL</f>
        <v>2</v>
      </c>
      <c r="D17" s="892">
        <f>AOIFTStudCntELL</f>
        <v>0</v>
      </c>
      <c r="E17" s="892">
        <f>AOIPTStudCntELL</f>
        <v>0</v>
      </c>
      <c r="F17" s="893">
        <v>0.115</v>
      </c>
      <c r="G17" s="892">
        <f>NonAOIStudCntELL*F17</f>
        <v>0.23</v>
      </c>
      <c r="H17" s="892">
        <f>AOIFTStudCntELL*F17</f>
        <v>0</v>
      </c>
      <c r="I17" s="892">
        <f>AOIPTStudCntELL*F17</f>
        <v>0</v>
      </c>
      <c r="AA17" s="126"/>
    </row>
    <row r="18" spans="1:27" ht="15" customHeight="1">
      <c r="A18" s="283" t="s">
        <v>426</v>
      </c>
      <c r="B18" s="269"/>
      <c r="C18" s="892">
        <f>NonAOIStudCntK3</f>
        <v>63.88</v>
      </c>
      <c r="D18" s="892">
        <f>AOIFTStudCntK3</f>
        <v>0</v>
      </c>
      <c r="E18" s="892">
        <f>AOIPTStudCntK3</f>
        <v>0</v>
      </c>
      <c r="F18" s="893">
        <v>0.06</v>
      </c>
      <c r="G18" s="892">
        <f>NonAOIStudCntK3*F18</f>
        <v>3.8328000000000002</v>
      </c>
      <c r="H18" s="892">
        <f>AOIFTStudCntK3*F18</f>
        <v>0</v>
      </c>
      <c r="I18" s="892">
        <f>AOIPTStudCntK3*F18</f>
        <v>0</v>
      </c>
      <c r="AA18" s="126"/>
    </row>
    <row r="19" spans="1:27" ht="15" customHeight="1">
      <c r="A19" s="283" t="s">
        <v>604</v>
      </c>
      <c r="B19" s="269"/>
      <c r="C19" s="892">
        <f>NonAOIStudCntK3R</f>
        <v>63.88</v>
      </c>
      <c r="D19" s="892">
        <f>AOIFTStudCntK3R</f>
        <v>0</v>
      </c>
      <c r="E19" s="892">
        <f>AOIPTStudCntK3R</f>
        <v>0</v>
      </c>
      <c r="F19" s="893">
        <v>0.04</v>
      </c>
      <c r="G19" s="892">
        <f>NonAOIStudCntK3R*F19</f>
        <v>2.5552000000000001</v>
      </c>
      <c r="H19" s="892">
        <f>AOIFTStudCntK3R*F19</f>
        <v>0</v>
      </c>
      <c r="I19" s="892">
        <f>AOIPTStudCntK3R*F19</f>
        <v>0</v>
      </c>
      <c r="AA19" s="126"/>
    </row>
    <row r="20" spans="1:27" ht="15" customHeight="1">
      <c r="A20" s="283" t="s">
        <v>428</v>
      </c>
      <c r="B20" s="269"/>
      <c r="C20" s="892">
        <f>NonAOIStudCntHI</f>
        <v>0</v>
      </c>
      <c r="D20" s="892">
        <f>AOIFTStudCntHI</f>
        <v>0</v>
      </c>
      <c r="E20" s="892">
        <f>AOIPTStudCntHI</f>
        <v>0</v>
      </c>
      <c r="F20" s="893">
        <v>4.7709999999999999</v>
      </c>
      <c r="G20" s="892">
        <f>NonAOIStudCntHI*F20</f>
        <v>0</v>
      </c>
      <c r="H20" s="892">
        <f>AOIFTStudCntHI*F20</f>
        <v>0</v>
      </c>
      <c r="I20" s="892">
        <f>AOIPTStudCntHI*F20</f>
        <v>0</v>
      </c>
      <c r="AA20" s="126"/>
    </row>
    <row r="21" spans="1:27" ht="15" customHeight="1">
      <c r="A21" s="283" t="s">
        <v>605</v>
      </c>
      <c r="B21" s="269"/>
      <c r="C21" s="892">
        <f>NonAOIStudCntMDR.AR.SIDR</f>
        <v>0</v>
      </c>
      <c r="D21" s="892">
        <f>AOIFTStudCntMDR.AR.SIDR</f>
        <v>0</v>
      </c>
      <c r="E21" s="892">
        <f>AOIPTStudCntMDR.AR.SIDR</f>
        <v>0</v>
      </c>
      <c r="F21" s="893">
        <v>6.024</v>
      </c>
      <c r="G21" s="892">
        <f>NonAOIStudCntMDR.AR.SIDR*F21</f>
        <v>0</v>
      </c>
      <c r="H21" s="892">
        <f>AOIFTStudCntMDR.AR.SIDR*F21</f>
        <v>0</v>
      </c>
      <c r="I21" s="892">
        <f>AOIPTStudCntMDR.AR.SIDR*F21</f>
        <v>0</v>
      </c>
      <c r="AA21" s="126"/>
    </row>
    <row r="22" spans="1:27" ht="15" customHeight="1">
      <c r="A22" s="909" t="s">
        <v>606</v>
      </c>
      <c r="B22" s="269"/>
      <c r="C22" s="892">
        <f>NonAOIStudCntMDSC.ASC.SIDSC</f>
        <v>0</v>
      </c>
      <c r="D22" s="892">
        <f>AOIFTStudCntMDSC.ASC.SIDSC</f>
        <v>0</v>
      </c>
      <c r="E22" s="892">
        <f>AOIPTStudCntMDSC.ASC.SIDSC</f>
        <v>0</v>
      </c>
      <c r="F22" s="910">
        <v>5.9880000000000004</v>
      </c>
      <c r="G22" s="892">
        <f>NonAOIStudCntMDSC.ASC.SIDSC*F22</f>
        <v>0</v>
      </c>
      <c r="H22" s="892">
        <f>AOIFTStudCntMDSC.ASC.SIDSC*F22</f>
        <v>0</v>
      </c>
      <c r="I22" s="892">
        <f>AOIPTStudCntMDSC.ASC.SIDSC*F22</f>
        <v>0</v>
      </c>
      <c r="AA22" s="126"/>
    </row>
    <row r="23" spans="1:27" ht="15" customHeight="1">
      <c r="A23" s="909" t="s">
        <v>431</v>
      </c>
      <c r="B23" s="269"/>
      <c r="C23" s="892">
        <f>NonAOIStudCntMDSSI</f>
        <v>0</v>
      </c>
      <c r="D23" s="892">
        <f>AOIFTStudCntMDSSI</f>
        <v>0</v>
      </c>
      <c r="E23" s="892">
        <f>AOIPTStudCntMDSSI</f>
        <v>0</v>
      </c>
      <c r="F23" s="910">
        <v>7.9470000000000001</v>
      </c>
      <c r="G23" s="892">
        <f>NonAOIStudCntMDSSI*F23</f>
        <v>0</v>
      </c>
      <c r="H23" s="892">
        <f>AOIFTStudCntMDSSI*F23</f>
        <v>0</v>
      </c>
      <c r="I23" s="892">
        <f>AOIPTStudCntMDSSI*F23</f>
        <v>0</v>
      </c>
      <c r="AA23" s="126"/>
    </row>
    <row r="24" spans="1:27" ht="15" customHeight="1">
      <c r="A24" s="909" t="s">
        <v>432</v>
      </c>
      <c r="B24" s="269"/>
      <c r="C24" s="892">
        <f>NonAOIStudCntOIR</f>
        <v>0</v>
      </c>
      <c r="D24" s="892">
        <f>AOIFTStudCntOIR</f>
        <v>0</v>
      </c>
      <c r="E24" s="892">
        <f>AOIPTStudCntOIR</f>
        <v>0</v>
      </c>
      <c r="F24" s="910">
        <v>3.1579999999999999</v>
      </c>
      <c r="G24" s="892">
        <f>NonAOIStudCntOIR*F24</f>
        <v>0</v>
      </c>
      <c r="H24" s="892">
        <f>AOIFTStudCntOIR*F24</f>
        <v>0</v>
      </c>
      <c r="I24" s="892">
        <f>AOIPTStudCntOIR*F24</f>
        <v>0</v>
      </c>
      <c r="AA24" s="126"/>
    </row>
    <row r="25" spans="1:27" ht="15" customHeight="1">
      <c r="A25" s="909" t="s">
        <v>433</v>
      </c>
      <c r="B25" s="269"/>
      <c r="C25" s="892">
        <f>NonAOIStudCntOISC</f>
        <v>0</v>
      </c>
      <c r="D25" s="892">
        <f>AOIFTStudCntOISC</f>
        <v>0</v>
      </c>
      <c r="E25" s="892">
        <f>AOIPTStudCntOISC</f>
        <v>0</v>
      </c>
      <c r="F25" s="910">
        <v>6.7729999999999997</v>
      </c>
      <c r="G25" s="892">
        <f>NonAOIStudCntOISC*F25</f>
        <v>0</v>
      </c>
      <c r="H25" s="892">
        <f>AOIFTStudCntOISC*F25</f>
        <v>0</v>
      </c>
      <c r="I25" s="892">
        <f>AOIPTStudCntOISC*F25</f>
        <v>0</v>
      </c>
      <c r="AA25" s="126"/>
    </row>
    <row r="26" spans="1:27" ht="15" customHeight="1">
      <c r="A26" s="909" t="s">
        <v>434</v>
      </c>
      <c r="B26" s="269"/>
      <c r="C26" s="892">
        <f>NonAOIStudCntP.SD</f>
        <v>0</v>
      </c>
      <c r="D26" s="892">
        <f>AOIFTStudCntP.SD</f>
        <v>0</v>
      </c>
      <c r="E26" s="892">
        <f>AOIPTStudCntP.SD</f>
        <v>0</v>
      </c>
      <c r="F26" s="910">
        <v>3.5950000000000002</v>
      </c>
      <c r="G26" s="892">
        <f>NonAOIStudCntP.SD*F26</f>
        <v>0</v>
      </c>
      <c r="H26" s="892">
        <f>AOIFTStudCntP.SD*F26</f>
        <v>0</v>
      </c>
      <c r="I26" s="892">
        <f>AOIPTStudCntP.SD*F26</f>
        <v>0</v>
      </c>
      <c r="M26" s="97"/>
      <c r="AA26" s="97"/>
    </row>
    <row r="27" spans="1:27" ht="15" customHeight="1">
      <c r="A27" s="909" t="s">
        <v>607</v>
      </c>
      <c r="B27" s="269"/>
      <c r="C27" s="892">
        <f>NonAOIStudCntDD.ED.MIID.SLD.SLI.OHI</f>
        <v>33.76</v>
      </c>
      <c r="D27" s="892">
        <f>AOIFTStudCntDD.ED.MIID.SLD.SLI.OHI</f>
        <v>0</v>
      </c>
      <c r="E27" s="892">
        <f>AOIPTStudCntDD.ED.MIID.SLD.SLI.OHI</f>
        <v>0</v>
      </c>
      <c r="F27" s="893">
        <v>0.29199999999999998</v>
      </c>
      <c r="G27" s="892">
        <f>NonAOIStudCntDD.ED.MIID.SLD.SLI.OHI*F27</f>
        <v>9.8579000000000008</v>
      </c>
      <c r="H27" s="892">
        <f>AOIFTStudCntDD.ED.MIID.SLD.SLI.OHI*F27</f>
        <v>0</v>
      </c>
      <c r="I27" s="892">
        <f>AOIPTStudCntDD.ED.MIID.SLD.SLI.OHI*F27</f>
        <v>0</v>
      </c>
      <c r="AA27" s="126"/>
    </row>
    <row r="28" spans="1:27" ht="15" customHeight="1">
      <c r="A28" s="909" t="s">
        <v>437</v>
      </c>
      <c r="B28" s="269"/>
      <c r="C28" s="892">
        <f>NonAOIStudCntEDP</f>
        <v>0</v>
      </c>
      <c r="D28" s="892">
        <f>AOIFTStudCntEDP</f>
        <v>0</v>
      </c>
      <c r="E28" s="892">
        <f>AOIPTStudCntEDP</f>
        <v>0</v>
      </c>
      <c r="F28" s="910">
        <v>4.8220000000000001</v>
      </c>
      <c r="G28" s="892">
        <f>NonAOIStudCntEDP*F28</f>
        <v>0</v>
      </c>
      <c r="H28" s="892">
        <f>AOIFTStudCntEDP*F28</f>
        <v>0</v>
      </c>
      <c r="I28" s="892">
        <f>AOIPTStudCntEDP*F28</f>
        <v>0</v>
      </c>
      <c r="AA28" s="126"/>
    </row>
    <row r="29" spans="1:27" ht="15" customHeight="1">
      <c r="A29" s="909" t="s">
        <v>438</v>
      </c>
      <c r="B29" s="269"/>
      <c r="C29" s="892">
        <f>NonAOIStudCntMOID</f>
        <v>0</v>
      </c>
      <c r="D29" s="892">
        <f>AOIFTStudCntMOID</f>
        <v>0</v>
      </c>
      <c r="E29" s="892">
        <f>AOIPTStudCntMOID</f>
        <v>0</v>
      </c>
      <c r="F29" s="910">
        <v>4.4210000000000003</v>
      </c>
      <c r="G29" s="892">
        <f>NonAOIStudCntMOID*F29</f>
        <v>0</v>
      </c>
      <c r="H29" s="892">
        <f>AOIFTStudCntMOID*F29</f>
        <v>0</v>
      </c>
      <c r="I29" s="892">
        <f>AOIPTStudCntMOID*F29</f>
        <v>0</v>
      </c>
      <c r="AA29" s="126"/>
    </row>
    <row r="30" spans="1:27" ht="15" customHeight="1">
      <c r="A30" s="909" t="s">
        <v>439</v>
      </c>
      <c r="B30" s="269"/>
      <c r="C30" s="892">
        <f>NonAOIStudCntVI</f>
        <v>0</v>
      </c>
      <c r="D30" s="892">
        <f>AOIFTStudCntVI</f>
        <v>0</v>
      </c>
      <c r="E30" s="892">
        <f>AOIPTStudCntVI</f>
        <v>0</v>
      </c>
      <c r="F30" s="910">
        <v>4.806</v>
      </c>
      <c r="G30" s="892">
        <f>NonAOIStudCntVI*F30</f>
        <v>0</v>
      </c>
      <c r="H30" s="892">
        <f>AOIFTStudCntVI*F30</f>
        <v>0</v>
      </c>
      <c r="I30" s="892">
        <f>AOIPTStudCntVI*F30</f>
        <v>0</v>
      </c>
      <c r="AA30" s="126"/>
    </row>
    <row r="31" spans="1:27" ht="15" customHeight="1">
      <c r="A31" s="283" t="s">
        <v>441</v>
      </c>
      <c r="C31" s="892">
        <f>NonAOIStudCntFRPL</f>
        <v>127.1816</v>
      </c>
      <c r="D31" s="892">
        <f>AOIFTStudCntFRPL</f>
        <v>0</v>
      </c>
      <c r="E31" s="892">
        <f>AOIPTStudCntFRPL</f>
        <v>0</v>
      </c>
      <c r="F31" s="893">
        <v>2.1999999999999999E-2</v>
      </c>
      <c r="G31" s="892">
        <f>NonAOIStudCntFRPL*F31</f>
        <v>2.798</v>
      </c>
      <c r="H31" s="892">
        <f>AOIFTStudCntFRPL*F31</f>
        <v>0</v>
      </c>
      <c r="I31" s="892">
        <f>AOIPTStudCntFRPL*F31</f>
        <v>0</v>
      </c>
      <c r="AA31" s="126"/>
    </row>
    <row r="32" spans="1:27" ht="15" customHeight="1">
      <c r="A32" s="909" t="s">
        <v>440</v>
      </c>
      <c r="B32" s="269"/>
      <c r="C32" s="892">
        <f>NonAOIStudCntG</f>
        <v>0</v>
      </c>
      <c r="D32" s="892">
        <f>AOIFTStudCntG</f>
        <v>0</v>
      </c>
      <c r="E32" s="892">
        <f>AOIPTStudCntG</f>
        <v>0</v>
      </c>
      <c r="F32" s="910">
        <v>7.0000000000000001E-3</v>
      </c>
      <c r="G32" s="892">
        <f>NonAOIStudCntG*F32</f>
        <v>0</v>
      </c>
      <c r="H32" s="892">
        <f>AOIFTStudCntG*F32</f>
        <v>0</v>
      </c>
      <c r="I32" s="892">
        <f>AOIPTStudCntG*F32</f>
        <v>0</v>
      </c>
      <c r="AA32" s="126"/>
    </row>
    <row r="33" spans="1:27" ht="15" customHeight="1">
      <c r="A33" s="911" t="s">
        <v>608</v>
      </c>
      <c r="B33" s="911"/>
      <c r="C33" s="899">
        <f>SUM(C17:C32)</f>
        <v>290.70159999999998</v>
      </c>
      <c r="D33" s="899">
        <f>SUM(D17:D32)</f>
        <v>0</v>
      </c>
      <c r="E33" s="899">
        <f>SUM(E17:E32)</f>
        <v>0</v>
      </c>
      <c r="F33" s="912"/>
      <c r="G33" s="897"/>
      <c r="H33" s="897"/>
      <c r="I33" s="897"/>
      <c r="M33" s="97"/>
      <c r="AA33" s="97"/>
    </row>
    <row r="34" spans="1:27" ht="15" customHeight="1">
      <c r="A34" s="911" t="s">
        <v>609</v>
      </c>
      <c r="B34" s="911"/>
      <c r="C34" s="911"/>
      <c r="D34" s="913"/>
      <c r="E34" s="897">
        <f>SUM(C33:E33)</f>
        <v>290.70159999999998</v>
      </c>
      <c r="F34" s="914"/>
      <c r="G34" s="897"/>
      <c r="H34" s="897"/>
      <c r="I34" s="897"/>
      <c r="AA34" s="126"/>
    </row>
    <row r="35" spans="1:27" ht="15" customHeight="1">
      <c r="A35" s="911" t="s">
        <v>610</v>
      </c>
      <c r="B35" s="911"/>
      <c r="C35" s="911"/>
      <c r="D35" s="915"/>
      <c r="E35" s="914"/>
      <c r="F35" s="914"/>
      <c r="G35" s="916">
        <f>((C17*F17)+(C18*F18)+(C19*F19)+(C20*F20)+(C21*F21)+(C22*F22)+(C23*F23)+(C24*F24)+(C25*F25)+(C26*F26)+(C27*F27)+(C28*F28)+(C29*F29)+(C30*F30)+(C32*F32)+(C31*F31))</f>
        <v>19.273900000000001</v>
      </c>
      <c r="H35" s="916">
        <f>((D17*F17)+(D18*F18)+(D19*F19)+(D20*F20)+(D21*F21)+(D22*F22)+(D23*F23)+(D24*F24)+(D25*F25)+(D26*F26)+(D27*F27)+(D28*F28)+(D29*F29)+(D30*F30)+(D32*F32)+(D31*F31))</f>
        <v>0</v>
      </c>
      <c r="I35" s="916">
        <f>((E17*F17)+(E18*F18)+(E19*F19)+(E20*F20)+(E21*F21)+(E22*F22)+(E23*F23)+(E24*F24)+(E25*F25)+(E26*F26)+(E27*F27)+(E28*F28)+(E29*F29)+(E30*F30)+(E32*F32)+(E31*F31))</f>
        <v>0</v>
      </c>
      <c r="AA35" s="126"/>
    </row>
    <row r="36" spans="1:27" ht="15" customHeight="1">
      <c r="A36" s="911" t="s">
        <v>611</v>
      </c>
      <c r="B36" s="911"/>
      <c r="C36" s="911"/>
      <c r="D36" s="915"/>
      <c r="E36" s="914"/>
      <c r="F36" s="914"/>
      <c r="G36" s="897"/>
      <c r="H36" s="897"/>
      <c r="I36" s="897">
        <f>(((C17+D17+E17)*F17)+((C18+D18+E18)*F18)+((C19+D19+E19)*F19)+((C20+D20+E20)*F20)+((C21+D21+E21)*F21)+((C22+D22+E22)*F22)+((C23+D23+E23)*F23)+((C24+D24+E24)*F24)+((C25+D25+E25)*F25)+((C26+D26+E26)*F26)+((C27+D27+E27)*F27)+((C28+D28+E28)*F28)+((C29+D29+E29)*F29)+((C30+D30+E30)*F30)+((C32+D32+E32)*F32)+((C31+D31+E31)*F31))</f>
        <v>19.273900000000001</v>
      </c>
      <c r="AA36" s="126"/>
    </row>
    <row r="37" spans="1:27" ht="15" customHeight="1">
      <c r="B37" s="269"/>
      <c r="G37" s="269"/>
      <c r="H37" s="269"/>
      <c r="I37" s="269"/>
      <c r="AA37" s="126"/>
    </row>
    <row r="38" spans="1:27" ht="15" customHeight="1">
      <c r="A38" s="917"/>
      <c r="B38" s="1908"/>
      <c r="C38" s="1908"/>
      <c r="D38" s="1908"/>
      <c r="E38" s="917"/>
      <c r="F38" s="1908"/>
      <c r="G38" s="1909"/>
      <c r="H38" s="1909"/>
      <c r="I38" s="206"/>
      <c r="J38" s="1305"/>
      <c r="K38" s="1914"/>
      <c r="L38" s="1914" t="str">
        <f>CTD</f>
        <v>110100000</v>
      </c>
      <c r="AA38" s="126"/>
    </row>
    <row r="39" spans="1:27" ht="15" customHeight="1">
      <c r="A39" s="883"/>
      <c r="B39" s="883"/>
      <c r="C39" s="883"/>
      <c r="D39" s="1845" t="str">
        <f>IF(DistrictName&lt;&gt;0,DistrictName,"")</f>
        <v>Mary C O'Brien Accommodation District</v>
      </c>
      <c r="E39" s="1845"/>
      <c r="F39" s="1845"/>
      <c r="G39" s="1845"/>
      <c r="H39" s="1845"/>
      <c r="I39" s="883"/>
      <c r="J39" s="883"/>
      <c r="K39" s="883"/>
      <c r="L39" s="883"/>
      <c r="M39" s="883"/>
      <c r="AA39" s="126"/>
    </row>
    <row r="40" spans="1:27" ht="34.5" customHeight="1">
      <c r="A40" s="309"/>
      <c r="B40" s="309"/>
      <c r="C40" s="309"/>
      <c r="D40" s="1905" t="s">
        <v>587</v>
      </c>
      <c r="E40" s="1905"/>
      <c r="F40" s="1905"/>
      <c r="G40" s="1905"/>
      <c r="H40" s="1905"/>
      <c r="I40" s="309"/>
      <c r="J40" s="309"/>
      <c r="K40" s="309"/>
      <c r="L40" s="309"/>
      <c r="M40" s="309"/>
      <c r="AA40" s="126"/>
    </row>
    <row r="41" spans="1:27" ht="15" customHeight="1" thickBot="1">
      <c r="A41" s="858"/>
      <c r="B41" s="858"/>
      <c r="C41" s="858"/>
      <c r="D41" s="858"/>
      <c r="E41" s="886"/>
      <c r="F41" s="885" t="s">
        <v>588</v>
      </c>
      <c r="G41" s="886" t="str">
        <f>IF(AND(SmallIsolatedPSD8Checkbox="X",SmallIsolated912Checkbox="X"),"Elementary and High School",IF(SmallIsolatedPSD8Checkbox="X","Elementary",IF(SmallIsolated912Checkbox="X","High School","Not Isolated")))</f>
        <v>Not Isolated</v>
      </c>
      <c r="H41" s="858"/>
      <c r="I41" s="858"/>
      <c r="J41" s="858"/>
      <c r="K41" s="884"/>
      <c r="L41" s="887" t="s">
        <v>589</v>
      </c>
      <c r="M41" s="887" t="s">
        <v>612</v>
      </c>
      <c r="AA41" s="126"/>
    </row>
    <row r="42" spans="1:27" ht="15" customHeight="1">
      <c r="AA42" s="126"/>
    </row>
    <row r="43" spans="1:27" ht="21.6">
      <c r="A43" s="918" t="s">
        <v>613</v>
      </c>
      <c r="B43" s="269"/>
      <c r="C43" s="269"/>
      <c r="D43" s="1315" t="s">
        <v>614</v>
      </c>
      <c r="E43" s="269"/>
      <c r="F43" s="1315" t="s">
        <v>593</v>
      </c>
      <c r="G43" s="898"/>
      <c r="H43" s="1315" t="s">
        <v>594</v>
      </c>
      <c r="I43" s="919"/>
      <c r="J43" s="919"/>
      <c r="K43" s="919"/>
      <c r="L43" s="919"/>
      <c r="M43" s="919"/>
      <c r="N43" s="919"/>
      <c r="O43" s="919"/>
      <c r="P43" s="919"/>
      <c r="Q43" s="919"/>
      <c r="AA43" s="126"/>
    </row>
    <row r="44" spans="1:27" ht="15" customHeight="1">
      <c r="A44" s="1910" t="s">
        <v>601</v>
      </c>
      <c r="B44" s="1910"/>
      <c r="C44" s="920"/>
      <c r="D44" s="921">
        <f>NonAOIRegEdWgtdADM</f>
        <v>278.02339999999998</v>
      </c>
      <c r="E44" s="922"/>
      <c r="F44" s="921">
        <f>AOIFTRegEdWgtdADM</f>
        <v>0</v>
      </c>
      <c r="G44" s="922"/>
      <c r="H44" s="921">
        <f>AOIPTRegEdWgtdADM</f>
        <v>0</v>
      </c>
      <c r="I44" s="923"/>
      <c r="J44" s="1625"/>
      <c r="K44" s="1625"/>
      <c r="L44" s="1625"/>
      <c r="AA44" s="126"/>
    </row>
    <row r="45" spans="1:27" ht="15" customHeight="1">
      <c r="A45" s="1910" t="s">
        <v>610</v>
      </c>
      <c r="B45" s="1910"/>
      <c r="C45" s="920" t="s">
        <v>481</v>
      </c>
      <c r="D45" s="924">
        <f>NonAOIGrBAddOnWgtdADM</f>
        <v>19.273900000000001</v>
      </c>
      <c r="E45" s="922" t="s">
        <v>481</v>
      </c>
      <c r="F45" s="921">
        <f>AOIFTGrBAddOnWgtdADM</f>
        <v>0</v>
      </c>
      <c r="G45" s="922" t="s">
        <v>481</v>
      </c>
      <c r="H45" s="921">
        <f>AOIPTGrBAddOnWgtdADM</f>
        <v>0</v>
      </c>
      <c r="I45" s="923"/>
      <c r="J45" s="96"/>
      <c r="K45" s="923"/>
      <c r="L45" s="923"/>
      <c r="AA45" s="126"/>
    </row>
    <row r="46" spans="1:27" ht="15" customHeight="1">
      <c r="A46" s="925" t="s">
        <v>615</v>
      </c>
      <c r="B46" s="269"/>
      <c r="C46" s="920" t="s">
        <v>479</v>
      </c>
      <c r="D46" s="924">
        <f>((C7*F7)+(C8*F8)+(C9*F9)+C17*F17)+(C18*F18)+(C19*F19)+(C20*F20)+(C21*F21)+(C22*F22)+(C23*F23)+(C24*F24)+(C25*F25)+(C26*F26)+(C27*F27)+(C28*F28)+(C29*F29)+(C30*F30)+(C32*F32)+(C31*F31)</f>
        <v>297.29730000000001</v>
      </c>
      <c r="E46" s="922" t="s">
        <v>479</v>
      </c>
      <c r="F46" s="921">
        <f>((D7*F7)+(D8*F8)+(D9*F9)+(D17*F17)+(D18*F18)+(D19*F19)+(D20*F20)+(D21*F21)+(D22*F22)+(D23*F23)+(D24*F24)+(D25*F25)+(D26*F26)+(D27*F27)+(D28*F28)+(D29*F29)+(D30*F30)+(D32*F32)+(D31*F31))</f>
        <v>0</v>
      </c>
      <c r="G46" s="922" t="s">
        <v>479</v>
      </c>
      <c r="H46" s="921">
        <f>((E7*F7)+(E8*F8)+(E9*F9)+(E17*F17)+(E18*F18)+(E19*F19)+(E20*F20)+(E21*F21)+(E22*F22)+(E23*F23)+(E24*F24)+(E25*F25)+(E26*F26)+(E27*F27)+(E28*F28)+(E29*F29)+(E30*F30)+(E32*F32)+(E31*F31))</f>
        <v>0</v>
      </c>
      <c r="I46" s="923"/>
      <c r="J46" s="96"/>
      <c r="K46" s="923"/>
      <c r="L46" s="923"/>
      <c r="AA46" s="126"/>
    </row>
    <row r="47" spans="1:27" ht="15" customHeight="1">
      <c r="A47" s="925" t="s">
        <v>616</v>
      </c>
      <c r="B47" s="269"/>
      <c r="C47" s="920" t="s">
        <v>480</v>
      </c>
      <c r="D47" s="924">
        <v>1</v>
      </c>
      <c r="E47" s="926" t="s">
        <v>480</v>
      </c>
      <c r="F47" s="924">
        <v>0.95</v>
      </c>
      <c r="G47" s="926" t="s">
        <v>480</v>
      </c>
      <c r="H47" s="924">
        <v>0.85</v>
      </c>
      <c r="I47" s="923"/>
      <c r="J47" s="96"/>
      <c r="K47" s="923"/>
      <c r="L47" s="923"/>
      <c r="AA47" s="126"/>
    </row>
    <row r="48" spans="1:27" ht="15" customHeight="1">
      <c r="A48" s="925" t="s">
        <v>617</v>
      </c>
      <c r="B48" s="269"/>
      <c r="C48" s="920" t="s">
        <v>479</v>
      </c>
      <c r="D48" s="924">
        <f>(((C7*F7)+(C8*F8)+(C9*F9)+C17*F17)+(C18*F18)+(C19*F19)+(C20*F20)+(C21*F21)+(C22*F22)+(C23*F23)+(C24*F24)+(C25*F25)+(C26*F26)+(C27*F27)+(C28*F28)+(C29*F29)+(C30*F30)+(C32*F32)+(C31*F31))*D47</f>
        <v>297.29730000000001</v>
      </c>
      <c r="E48" s="926" t="s">
        <v>479</v>
      </c>
      <c r="F48" s="924">
        <f>(((D7*F7)+(D8*F8)+(D9*F9)+(D17*F17)+(D18*F18)+(D19*F19)+(D20*F20)+(D21*F21)+(D22*F22)+(D23*F23)+(D24*F24)+(D25*F25)+(D26*F26)+(D27*F27)+(D28*F28)+(D29*F29)+(D30*F30)+(D32*F32)+(D31*F31)))*F47</f>
        <v>0</v>
      </c>
      <c r="G48" s="926" t="s">
        <v>479</v>
      </c>
      <c r="H48" s="924">
        <f>(((E7*F7)+(E8*F8)+(E9*F9)+(E17*F17)+(E18*F18)+(E19*F19)+(E20*F20)+(E21*F21)+(E22*F22)+(E23*F23)+(E24*F24)+(E25*F25)+(E26*F26)+(E27*F27)+(E28*F28)+(E29*F29)+(E30*F30)+(E32*F32)+(E31*F31)))*H47</f>
        <v>0</v>
      </c>
      <c r="I48" s="923"/>
      <c r="J48" s="96"/>
      <c r="K48" s="923"/>
      <c r="L48" s="923"/>
      <c r="AA48" s="126"/>
    </row>
    <row r="49" spans="1:27" s="145" customFormat="1" ht="7.5" customHeight="1" thickBot="1">
      <c r="A49" s="927"/>
      <c r="B49" s="886"/>
      <c r="C49" s="928"/>
      <c r="D49" s="929"/>
      <c r="E49" s="930"/>
      <c r="F49" s="929"/>
      <c r="G49" s="930"/>
      <c r="H49" s="929"/>
      <c r="I49" s="931"/>
      <c r="J49" s="858"/>
      <c r="K49" s="931"/>
      <c r="L49" s="931"/>
      <c r="M49" s="932"/>
      <c r="AA49" s="933"/>
    </row>
    <row r="50" spans="1:27" s="145" customFormat="1" ht="7.5" customHeight="1">
      <c r="A50" s="925"/>
      <c r="B50" s="302"/>
      <c r="C50" s="920"/>
      <c r="D50" s="921"/>
      <c r="E50" s="926"/>
      <c r="F50" s="921"/>
      <c r="G50" s="926"/>
      <c r="H50" s="921"/>
      <c r="I50" s="923"/>
      <c r="J50" s="206"/>
      <c r="K50" s="923"/>
      <c r="L50" s="923"/>
      <c r="M50" s="933"/>
      <c r="AA50" s="933"/>
    </row>
    <row r="51" spans="1:27" ht="15" customHeight="1">
      <c r="A51" s="934" t="s">
        <v>618</v>
      </c>
      <c r="B51" s="935"/>
      <c r="C51" s="302"/>
      <c r="D51" s="670"/>
      <c r="E51" s="670"/>
      <c r="F51" s="670"/>
      <c r="G51" s="670"/>
      <c r="H51" s="936">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297.297301</v>
      </c>
      <c r="I51" s="96"/>
      <c r="J51" s="96"/>
      <c r="K51" s="96"/>
      <c r="L51" s="96"/>
      <c r="AA51" s="126"/>
    </row>
    <row r="52" spans="1:27" ht="15" customHeight="1" thickBot="1">
      <c r="A52" s="1294" t="s">
        <v>1219</v>
      </c>
      <c r="B52" s="935"/>
      <c r="C52" s="269"/>
      <c r="D52" s="269"/>
      <c r="E52" s="937"/>
      <c r="F52" s="937"/>
      <c r="G52" s="937" t="s">
        <v>480</v>
      </c>
      <c r="H52" s="938">
        <f>IF(Checkbox200Days="X",BaseLevelAmount*1.05,BaseLevelAmount)</f>
        <v>5215.53</v>
      </c>
      <c r="I52" s="96"/>
      <c r="J52" s="939"/>
      <c r="K52" s="96"/>
      <c r="L52" s="96"/>
      <c r="AA52" s="126"/>
    </row>
    <row r="53" spans="1:27" ht="15" customHeight="1">
      <c r="A53" s="935" t="s">
        <v>619</v>
      </c>
      <c r="B53" s="935"/>
      <c r="C53" s="269"/>
      <c r="D53" s="269"/>
      <c r="E53" s="269"/>
      <c r="F53" s="269"/>
      <c r="G53" s="269"/>
      <c r="H53"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1550562.99</v>
      </c>
      <c r="I53" s="96"/>
      <c r="J53" s="96"/>
      <c r="K53" s="96"/>
      <c r="L53" s="96"/>
      <c r="AA53" s="126"/>
    </row>
    <row r="54" spans="1:27" ht="15" customHeight="1">
      <c r="A54" s="1913" t="s">
        <v>1220</v>
      </c>
      <c r="B54" s="1913"/>
      <c r="C54" s="893">
        <f>TEI</f>
        <v>1</v>
      </c>
      <c r="D54" s="269"/>
      <c r="E54" s="269"/>
      <c r="F54" s="269"/>
      <c r="G54" s="269"/>
      <c r="H54" s="882"/>
      <c r="I54" s="96"/>
      <c r="J54" s="96"/>
      <c r="K54" s="96"/>
      <c r="L54" s="96"/>
      <c r="AA54" s="126"/>
    </row>
    <row r="55" spans="1:27" ht="15" customHeight="1" thickBot="1">
      <c r="A55" s="1294" t="s">
        <v>1221</v>
      </c>
      <c r="B55" s="935"/>
      <c r="C55" s="269"/>
      <c r="D55" s="269"/>
      <c r="E55" s="269"/>
      <c r="F55" s="269"/>
      <c r="G55" s="595" t="s">
        <v>480</v>
      </c>
      <c r="H55" s="941">
        <f>IF(TEI&gt;1,TEI,1)</f>
        <v>1</v>
      </c>
      <c r="I55" s="96"/>
      <c r="J55" s="96"/>
      <c r="K55" s="96"/>
      <c r="L55" s="96"/>
      <c r="AA55" s="126"/>
    </row>
    <row r="56" spans="1:27" ht="15" customHeight="1">
      <c r="A56" s="942" t="s">
        <v>620</v>
      </c>
      <c r="B56" s="269"/>
      <c r="C56" s="943"/>
      <c r="D56" s="269"/>
      <c r="E56" s="269"/>
      <c r="F56" s="269"/>
      <c r="G56" s="269"/>
      <c r="H56" s="944"/>
      <c r="I56" s="96"/>
      <c r="J56" s="96"/>
      <c r="K56" s="96"/>
      <c r="L56" s="96"/>
      <c r="AA56" s="126"/>
    </row>
    <row r="57" spans="1:27" ht="15" customHeight="1">
      <c r="A57" s="1294" t="s">
        <v>621</v>
      </c>
      <c r="B57" s="269"/>
      <c r="C57" s="269"/>
      <c r="D57" s="269"/>
      <c r="E57" s="269"/>
      <c r="F57" s="269"/>
      <c r="G57" s="269"/>
      <c r="H57"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1550562.99</v>
      </c>
      <c r="I57" s="96"/>
      <c r="J57" s="96"/>
      <c r="K57" s="96"/>
      <c r="L57" s="96"/>
      <c r="AA57" s="126"/>
    </row>
    <row r="58" spans="1:27" ht="15" customHeight="1">
      <c r="A58" s="1294"/>
      <c r="B58" s="269"/>
      <c r="C58" s="269"/>
      <c r="D58" s="269"/>
      <c r="E58" s="269"/>
      <c r="F58" s="269"/>
      <c r="G58" s="269"/>
      <c r="H58" s="945"/>
      <c r="I58" s="96"/>
      <c r="J58" s="96"/>
      <c r="K58" s="96"/>
      <c r="L58" s="96"/>
      <c r="AA58" s="126"/>
    </row>
    <row r="59" spans="1:27" ht="15" customHeight="1">
      <c r="A59" s="946" t="s">
        <v>622</v>
      </c>
      <c r="B59" s="269"/>
      <c r="C59" s="947"/>
      <c r="D59" s="947"/>
      <c r="E59" s="947"/>
      <c r="F59" s="947"/>
      <c r="G59" s="947"/>
      <c r="H59" s="948"/>
      <c r="I59" s="96"/>
      <c r="J59" s="96"/>
      <c r="K59" s="96"/>
      <c r="L59" s="96"/>
      <c r="AA59" s="126"/>
    </row>
    <row r="60" spans="1:27" ht="15" customHeight="1">
      <c r="A60" s="1471" t="s">
        <v>623</v>
      </c>
      <c r="B60" s="882" t="s">
        <v>481</v>
      </c>
      <c r="C60" s="949">
        <f>NonFedAuditExp</f>
        <v>7250</v>
      </c>
      <c r="D60" s="1264"/>
      <c r="E60" s="1264"/>
      <c r="F60" s="1264"/>
      <c r="G60" s="1264"/>
      <c r="H60" s="950"/>
      <c r="I60" s="951"/>
      <c r="J60" s="96"/>
      <c r="K60" s="96"/>
      <c r="L60" s="96"/>
      <c r="AA60" s="126"/>
    </row>
    <row r="61" spans="1:27" ht="15" customHeight="1">
      <c r="A61" s="269" t="s">
        <v>624</v>
      </c>
      <c r="B61" s="882" t="s">
        <v>481</v>
      </c>
      <c r="C61" s="952">
        <f>IncreaseTuitionLossAdj</f>
        <v>0</v>
      </c>
      <c r="D61" s="1264"/>
      <c r="E61" s="1264"/>
      <c r="F61" s="1264"/>
      <c r="G61" s="1264"/>
      <c r="H61" s="950"/>
      <c r="I61" s="951"/>
      <c r="J61" s="96"/>
      <c r="K61" s="96"/>
      <c r="L61" s="96"/>
      <c r="AA61" s="126"/>
    </row>
    <row r="62" spans="1:27" ht="15" customHeight="1">
      <c r="A62" s="269" t="s">
        <v>625</v>
      </c>
      <c r="B62" s="882" t="s">
        <v>481</v>
      </c>
      <c r="C62" s="952">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64"/>
      <c r="E62" s="1264"/>
      <c r="F62" s="1264"/>
      <c r="G62" s="1264"/>
      <c r="H62" s="950"/>
      <c r="I62" s="951"/>
      <c r="J62" s="96"/>
      <c r="K62" s="96"/>
      <c r="L62" s="96"/>
      <c r="AA62" s="126"/>
    </row>
    <row r="63" spans="1:27" ht="15" customHeight="1">
      <c r="A63" s="1471" t="s">
        <v>626</v>
      </c>
      <c r="B63" s="882" t="s">
        <v>481</v>
      </c>
      <c r="C63" s="952">
        <f>RemoteInstructionDecre</f>
        <v>0</v>
      </c>
      <c r="D63" s="1264"/>
      <c r="E63" s="1264"/>
      <c r="F63" s="1264"/>
      <c r="G63" s="1264"/>
      <c r="H63" s="950"/>
      <c r="I63" s="951"/>
      <c r="J63" s="96"/>
      <c r="K63" s="96"/>
      <c r="L63" s="96"/>
      <c r="AA63" s="126"/>
    </row>
    <row r="64" spans="1:27" ht="15.6">
      <c r="A64" s="1471" t="s">
        <v>627</v>
      </c>
      <c r="B64" s="882" t="s">
        <v>481</v>
      </c>
      <c r="C64" s="949">
        <f>'Data Entry'!L88</f>
        <v>0</v>
      </c>
      <c r="D64" s="1264"/>
      <c r="E64" s="1264"/>
      <c r="F64" s="1264"/>
      <c r="G64" s="1264"/>
      <c r="H64" s="950"/>
      <c r="I64" s="951"/>
      <c r="J64" s="96"/>
      <c r="K64" s="96"/>
      <c r="L64" s="96"/>
      <c r="AA64" s="126"/>
    </row>
    <row r="65" spans="1:27" ht="15.6">
      <c r="A65" s="1471" t="s">
        <v>628</v>
      </c>
      <c r="B65" s="882" t="s">
        <v>481</v>
      </c>
      <c r="C65" s="949">
        <f>'Data Entry'!L89</f>
        <v>0</v>
      </c>
      <c r="D65" s="1264"/>
      <c r="E65" s="1264"/>
      <c r="F65" s="1264"/>
      <c r="G65" s="1264"/>
      <c r="H65" s="950"/>
      <c r="I65" s="951"/>
      <c r="J65" s="96"/>
      <c r="K65" s="96"/>
      <c r="L65" s="96"/>
      <c r="AA65" s="126"/>
    </row>
    <row r="66" spans="1:27" ht="15.6">
      <c r="A66" s="269" t="str">
        <f>IF('Data Entry'!C90&lt;&gt;"Other BSL Adjustment 1",'Data Entry'!C90,"")</f>
        <v/>
      </c>
      <c r="B66" s="882" t="str">
        <f>IF('Data Entry'!L90,"+","")</f>
        <v/>
      </c>
      <c r="C66" s="949" t="str">
        <f>IF(ISBLANK('Data Entry'!L90),"",'Data Entry'!L90)</f>
        <v/>
      </c>
      <c r="D66" s="1264"/>
      <c r="E66" s="1264"/>
      <c r="F66" s="1264"/>
      <c r="G66" s="1264"/>
      <c r="H66" s="950"/>
      <c r="I66" s="951"/>
      <c r="J66" s="96"/>
      <c r="K66" s="96"/>
      <c r="L66" s="96"/>
      <c r="AA66" s="126"/>
    </row>
    <row r="67" spans="1:27" ht="15.6">
      <c r="A67" s="269" t="str">
        <f>IF('Data Entry'!C91&lt;&gt;"Other BSL Adjustment 2",'Data Entry'!C91,"")</f>
        <v/>
      </c>
      <c r="B67" s="882" t="str">
        <f>IF('Data Entry'!L91,"+","")</f>
        <v/>
      </c>
      <c r="C67" s="949" t="str">
        <f>IF(ISBLANK('Data Entry'!L91),"",'Data Entry'!L91)</f>
        <v/>
      </c>
      <c r="D67" s="1264"/>
      <c r="E67" s="1264"/>
      <c r="F67" s="1264"/>
      <c r="G67" s="1264"/>
      <c r="H67" s="950"/>
      <c r="I67" s="951"/>
      <c r="J67" s="96"/>
      <c r="K67" s="96"/>
      <c r="L67" s="96"/>
      <c r="AA67" s="126"/>
    </row>
    <row r="68" spans="1:27" ht="15" customHeight="1">
      <c r="A68" s="644" t="s">
        <v>629</v>
      </c>
      <c r="B68" s="269"/>
      <c r="C68" s="269"/>
      <c r="D68" s="269"/>
      <c r="E68" s="269"/>
      <c r="F68" s="269"/>
      <c r="G68" s="269"/>
      <c r="H68" s="953">
        <f>SUM(C60:C67)</f>
        <v>7250</v>
      </c>
      <c r="I68" s="954"/>
      <c r="J68" s="96"/>
      <c r="K68" s="96"/>
      <c r="L68" s="96"/>
      <c r="AA68" s="126"/>
    </row>
    <row r="69" spans="1:27" ht="15" customHeight="1">
      <c r="A69" s="955" t="s">
        <v>630</v>
      </c>
      <c r="B69" s="269"/>
      <c r="C69" s="955"/>
      <c r="D69" s="955"/>
      <c r="E69" s="955"/>
      <c r="F69" s="955"/>
      <c r="G69" s="955"/>
      <c r="H69" s="956">
        <f>H68+H57</f>
        <v>1557812.99</v>
      </c>
      <c r="I69" s="957"/>
      <c r="J69" s="96"/>
      <c r="K69" s="96"/>
      <c r="L69" s="96"/>
      <c r="AA69" s="126"/>
    </row>
    <row r="70" spans="1:27" ht="15" customHeight="1">
      <c r="AA70" s="126"/>
    </row>
    <row r="71" spans="1:27" ht="15" customHeight="1">
      <c r="AA71" s="126"/>
    </row>
    <row r="72" spans="1:27" ht="15" customHeight="1">
      <c r="AA72" s="126"/>
    </row>
    <row r="73" spans="1:27" ht="15" customHeight="1">
      <c r="A73" s="883"/>
      <c r="B73" s="883"/>
      <c r="C73" s="883"/>
      <c r="D73" s="1845" t="str">
        <f>IF(DistrictName&lt;&gt;0,DistrictName,"")</f>
        <v>Mary C O'Brien Accommodation District</v>
      </c>
      <c r="E73" s="1845"/>
      <c r="F73" s="1845"/>
      <c r="G73" s="1845"/>
      <c r="H73" s="1845"/>
      <c r="I73" s="883"/>
      <c r="J73" s="883"/>
      <c r="K73" s="883"/>
      <c r="L73" s="883"/>
      <c r="M73" s="883"/>
      <c r="AA73" s="126"/>
    </row>
    <row r="74" spans="1:27" ht="34.5" customHeight="1">
      <c r="A74" s="309"/>
      <c r="B74" s="309"/>
      <c r="C74" s="309"/>
      <c r="D74" s="1905" t="s">
        <v>587</v>
      </c>
      <c r="E74" s="1905"/>
      <c r="F74" s="1905"/>
      <c r="G74" s="1905"/>
      <c r="H74" s="1905"/>
      <c r="I74" s="309"/>
      <c r="J74" s="309"/>
      <c r="K74" s="309"/>
      <c r="L74" s="309"/>
      <c r="M74" s="309"/>
      <c r="AA74" s="97"/>
    </row>
    <row r="75" spans="1:27" ht="15" customHeight="1" thickBot="1">
      <c r="A75" s="886"/>
      <c r="B75" s="886"/>
      <c r="C75" s="886"/>
      <c r="D75" s="886"/>
      <c r="E75" s="886"/>
      <c r="F75" s="885" t="s">
        <v>588</v>
      </c>
      <c r="G75" s="886" t="str">
        <f>IF(AND(SmallIsolatedPSD8Checkbox="X",SmallIsolated912Checkbox="X"),"Elementary and High School",IF(SmallIsolatedPSD8Checkbox="X","Elementary",IF(SmallIsolated912Checkbox="X","High School","Not Isolated")))</f>
        <v>Not Isolated</v>
      </c>
      <c r="H75" s="886"/>
      <c r="I75" s="886"/>
      <c r="J75" s="886"/>
      <c r="K75" s="886"/>
      <c r="L75" s="887" t="s">
        <v>589</v>
      </c>
      <c r="M75" s="887" t="s">
        <v>631</v>
      </c>
      <c r="AA75" s="126"/>
    </row>
    <row r="76" spans="1:27" ht="15" customHeight="1">
      <c r="A76" s="269"/>
      <c r="B76" s="269"/>
      <c r="C76" s="269"/>
      <c r="D76" s="269"/>
      <c r="E76" s="958"/>
      <c r="F76" s="959"/>
      <c r="G76" s="269"/>
      <c r="H76" s="269"/>
      <c r="I76" s="269"/>
      <c r="J76" s="269"/>
      <c r="K76" s="269"/>
      <c r="L76" s="269"/>
      <c r="M76" s="960"/>
      <c r="AA76" s="126"/>
    </row>
    <row r="77" spans="1:27" ht="15" customHeight="1">
      <c r="A77" s="961" t="s">
        <v>632</v>
      </c>
      <c r="B77" s="962"/>
      <c r="C77" s="963"/>
      <c r="D77" s="269"/>
      <c r="E77" s="964"/>
      <c r="F77" s="965" t="s">
        <v>633</v>
      </c>
      <c r="G77" s="269"/>
      <c r="H77" s="269"/>
      <c r="I77" s="269"/>
      <c r="J77" s="269"/>
      <c r="K77" s="269"/>
      <c r="L77" s="269"/>
      <c r="M77" s="960"/>
      <c r="AA77" s="126"/>
    </row>
    <row r="78" spans="1:27" ht="15" customHeight="1">
      <c r="A78" s="1911" t="s">
        <v>634</v>
      </c>
      <c r="B78" s="1911"/>
      <c r="C78" s="963"/>
      <c r="D78" s="269"/>
      <c r="E78" s="964"/>
      <c r="F78" s="1202" t="s">
        <v>1227</v>
      </c>
      <c r="G78" s="269"/>
      <c r="H78" s="269"/>
      <c r="I78" s="269"/>
      <c r="J78" s="966">
        <f>AdjBaseSuppLvl</f>
        <v>1557812.99</v>
      </c>
      <c r="K78" s="269"/>
      <c r="L78" s="269"/>
      <c r="M78" s="960"/>
      <c r="AA78" s="126"/>
    </row>
    <row r="79" spans="1:27" ht="15" customHeight="1">
      <c r="A79" s="967" t="s">
        <v>635</v>
      </c>
      <c r="B79" s="967"/>
      <c r="C79" s="269"/>
      <c r="D79" s="269"/>
      <c r="E79" s="968"/>
      <c r="F79" s="1202" t="s">
        <v>1228</v>
      </c>
      <c r="G79" s="269"/>
      <c r="H79" s="269"/>
      <c r="I79" s="595" t="s">
        <v>481</v>
      </c>
      <c r="J79" s="969">
        <f>ConsolUnifTransCosts</f>
        <v>0</v>
      </c>
      <c r="K79" s="269"/>
      <c r="L79" s="269"/>
      <c r="M79" s="960"/>
      <c r="AA79" s="97"/>
    </row>
    <row r="80" spans="1:27" ht="15" customHeight="1" thickBot="1">
      <c r="A80" s="967" t="s">
        <v>1222</v>
      </c>
      <c r="B80" s="967"/>
      <c r="C80" s="269"/>
      <c r="D80" s="269"/>
      <c r="E80" s="970">
        <f>EligibleStudTrans</f>
        <v>118</v>
      </c>
      <c r="F80" s="1202" t="s">
        <v>1226</v>
      </c>
      <c r="G80" s="269"/>
      <c r="H80" s="269"/>
      <c r="I80" s="595" t="s">
        <v>481</v>
      </c>
      <c r="J80" s="971">
        <f>TSL</f>
        <v>567951.23</v>
      </c>
      <c r="K80" s="269"/>
      <c r="L80" s="269"/>
      <c r="M80" s="269"/>
      <c r="AA80" s="126"/>
    </row>
    <row r="81" spans="1:27" ht="15" customHeight="1">
      <c r="A81" s="967" t="s">
        <v>1223</v>
      </c>
      <c r="B81" s="967"/>
      <c r="C81" s="269"/>
      <c r="D81" s="269"/>
      <c r="E81" s="972">
        <f>IF(ApprDRMiles&gt;0,ApprDRMiles/EligibleStudTrans,0)</f>
        <v>7.3814000000000002</v>
      </c>
      <c r="F81" s="1203" t="s">
        <v>1229</v>
      </c>
      <c r="G81" s="302"/>
      <c r="H81" s="302"/>
      <c r="I81" s="302"/>
      <c r="J81" s="973">
        <f>SUM(J78:J80)</f>
        <v>2125764.2200000002</v>
      </c>
      <c r="K81" s="302"/>
      <c r="L81" s="302"/>
      <c r="M81" s="974"/>
      <c r="AA81" s="126"/>
    </row>
    <row r="82" spans="1:27" ht="15" customHeight="1" thickBot="1">
      <c r="A82" s="967" t="s">
        <v>636</v>
      </c>
      <c r="B82" s="967"/>
      <c r="C82" s="269"/>
      <c r="D82" s="975"/>
      <c r="E82" s="976">
        <f>ApprDRMiles</f>
        <v>871</v>
      </c>
      <c r="F82" s="1204"/>
      <c r="G82" s="886"/>
      <c r="H82" s="886"/>
      <c r="I82" s="886"/>
      <c r="J82" s="886"/>
      <c r="K82" s="886"/>
      <c r="L82" s="886"/>
      <c r="M82" s="977"/>
      <c r="AA82" s="126"/>
    </row>
    <row r="83" spans="1:27" ht="15" customHeight="1">
      <c r="A83" s="967" t="s">
        <v>637</v>
      </c>
      <c r="B83" s="967"/>
      <c r="C83" s="269"/>
      <c r="D83" s="595" t="s">
        <v>480</v>
      </c>
      <c r="E83" s="978">
        <f>IF(DailyRteMilesPerElgStud=0,0,IF(AND(DailyRteMilesPerElgStud&gt;0.5,DailyRteMilesPerElgStud&lt;=1),StateSupportLevelRouteMile2,StateSupportLevelRouteMile1))</f>
        <v>3.07</v>
      </c>
      <c r="AA83" s="126"/>
    </row>
    <row r="84" spans="1:27" ht="15" customHeight="1" thickBot="1">
      <c r="A84" s="967" t="s">
        <v>638</v>
      </c>
      <c r="B84" s="967"/>
      <c r="C84" s="269"/>
      <c r="D84" s="595" t="s">
        <v>480</v>
      </c>
      <c r="E84" s="979">
        <f>IF(Checkbox200Days="X",200,180)</f>
        <v>180</v>
      </c>
      <c r="F84" s="965" t="s">
        <v>639</v>
      </c>
      <c r="G84" s="269"/>
      <c r="H84" s="269"/>
      <c r="I84" s="269"/>
      <c r="J84" s="269"/>
      <c r="K84" s="269"/>
      <c r="L84" s="269"/>
      <c r="M84" s="960"/>
      <c r="AA84" s="126"/>
    </row>
    <row r="85" spans="1:27" ht="15" customHeight="1">
      <c r="A85" s="967" t="s">
        <v>640</v>
      </c>
      <c r="B85" s="967"/>
      <c r="C85" s="269"/>
      <c r="D85" s="595"/>
      <c r="E85" s="978">
        <f>E82*E83*E84</f>
        <v>481314.6</v>
      </c>
      <c r="F85" s="1202" t="s">
        <v>1227</v>
      </c>
      <c r="G85" s="269"/>
      <c r="H85" s="269"/>
      <c r="I85" s="269"/>
      <c r="J85" s="966">
        <f>AdjBaseSuppLvl</f>
        <v>1557812.99</v>
      </c>
      <c r="K85" s="269"/>
      <c r="L85" s="269"/>
      <c r="M85" s="960"/>
      <c r="AA85" s="126"/>
    </row>
    <row r="86" spans="1:27" ht="15" customHeight="1" thickBot="1">
      <c r="A86" s="1472" t="s">
        <v>942</v>
      </c>
      <c r="B86" s="967"/>
      <c r="C86" s="269"/>
      <c r="D86" s="595" t="s">
        <v>480</v>
      </c>
      <c r="E86" s="980">
        <f>IF(VALUE(LEFT(RIGHT(L1,7),2))=3,Type03TranspFactor,IF(VALUE(LEFT(RIGHT(L1,7),2))=2,Type02TranspFactor,IF(VALUE(LEFT(RIGHT(L1,7),2))=4,Type04TranspFactor,IF(VALUE(LEFT(RIGHT(L1,7),2))=5,Type05TranspFactor,IF(VALUE(LEFT(RIGHT(L1,7),2))=1,Type01TranspFactor,0)))))</f>
        <v>0.18</v>
      </c>
      <c r="F86" s="1202" t="s">
        <v>1228</v>
      </c>
      <c r="G86" s="269"/>
      <c r="H86" s="269"/>
      <c r="I86" s="595" t="s">
        <v>481</v>
      </c>
      <c r="J86" s="969">
        <f>ConsolUnifTransCosts</f>
        <v>0</v>
      </c>
      <c r="K86" s="269"/>
      <c r="L86" s="269"/>
      <c r="M86" s="960"/>
      <c r="AA86" s="126"/>
    </row>
    <row r="87" spans="1:27" ht="15" customHeight="1" thickBot="1">
      <c r="A87" s="981" t="s">
        <v>641</v>
      </c>
      <c r="B87" s="967"/>
      <c r="C87" s="269"/>
      <c r="D87" s="595"/>
      <c r="E87" s="978">
        <f>ROUND((E84*E82)*E83*E86,2)</f>
        <v>86636.63</v>
      </c>
      <c r="F87" s="1202" t="s">
        <v>1230</v>
      </c>
      <c r="G87" s="269"/>
      <c r="H87" s="269"/>
      <c r="I87" s="595" t="s">
        <v>481</v>
      </c>
      <c r="J87" s="971">
        <f>CYTRCL</f>
        <v>580485.54</v>
      </c>
      <c r="K87" s="269"/>
      <c r="L87" s="269"/>
      <c r="M87" s="960"/>
      <c r="AA87" s="126"/>
    </row>
    <row r="88" spans="1:27" ht="15" customHeight="1">
      <c r="A88" s="967" t="s">
        <v>1224</v>
      </c>
      <c r="B88" s="967"/>
      <c r="C88" s="269"/>
      <c r="D88" s="595"/>
      <c r="E88" s="970">
        <f>ActDisabilityRM+EstDisabilityRM</f>
        <v>0</v>
      </c>
      <c r="F88" s="1203" t="s">
        <v>1231</v>
      </c>
      <c r="G88" s="269"/>
      <c r="H88" s="269"/>
      <c r="I88" s="269"/>
      <c r="J88" s="953">
        <f>SUM(J85:J87)</f>
        <v>2138298.5299999998</v>
      </c>
      <c r="K88" s="269"/>
      <c r="L88" s="269"/>
      <c r="M88" s="960"/>
      <c r="AA88" s="126"/>
    </row>
    <row r="89" spans="1:27" ht="15" customHeight="1" thickBot="1">
      <c r="A89" s="967" t="s">
        <v>637</v>
      </c>
      <c r="B89" s="967"/>
      <c r="C89" s="269"/>
      <c r="D89" s="595" t="s">
        <v>480</v>
      </c>
      <c r="E89" s="980">
        <f>E83</f>
        <v>3.07</v>
      </c>
      <c r="F89" s="1204"/>
      <c r="G89" s="886"/>
      <c r="H89" s="886"/>
      <c r="I89" s="886"/>
      <c r="J89" s="886"/>
      <c r="K89" s="269"/>
      <c r="L89" s="269"/>
      <c r="M89" s="960"/>
      <c r="AA89" s="126"/>
    </row>
    <row r="90" spans="1:27" ht="15" customHeight="1" thickBot="1">
      <c r="A90" s="967" t="s">
        <v>642</v>
      </c>
      <c r="B90" s="269"/>
      <c r="C90" s="269"/>
      <c r="D90" s="269"/>
      <c r="E90" s="978">
        <f>ROUND(E88*E89,2)</f>
        <v>0</v>
      </c>
      <c r="F90" s="1205" t="s">
        <v>1232</v>
      </c>
      <c r="G90" s="982"/>
      <c r="H90" s="982"/>
      <c r="I90" s="983"/>
      <c r="J90" s="984">
        <f>IF(J81&gt;J88,J88,J81)</f>
        <v>2125764.2200000002</v>
      </c>
      <c r="K90" s="302"/>
      <c r="L90" s="269"/>
      <c r="M90" s="960"/>
      <c r="AA90" s="126"/>
    </row>
    <row r="91" spans="1:27" ht="15" customHeight="1">
      <c r="A91" s="269" t="s">
        <v>643</v>
      </c>
      <c r="B91" s="269"/>
      <c r="C91" s="283" t="s">
        <v>644</v>
      </c>
      <c r="D91" s="283" t="s">
        <v>645</v>
      </c>
      <c r="E91" s="985"/>
      <c r="AA91" s="126"/>
    </row>
    <row r="92" spans="1:27" ht="15" customHeight="1">
      <c r="A92" s="269" t="s">
        <v>1225</v>
      </c>
      <c r="B92" s="269"/>
      <c r="C92" s="986">
        <f>AnnualExpforBusPass</f>
        <v>0</v>
      </c>
      <c r="D92" s="986">
        <f>AnnualExpforBusToken</f>
        <v>0</v>
      </c>
      <c r="E92" s="987">
        <f>C92+D92</f>
        <v>0</v>
      </c>
      <c r="AA92" s="126"/>
    </row>
    <row r="93" spans="1:27" ht="15" customHeight="1">
      <c r="A93" s="1294" t="s">
        <v>1226</v>
      </c>
      <c r="B93" s="269"/>
      <c r="C93" s="269"/>
      <c r="D93" s="269"/>
      <c r="E93" s="978">
        <f>E85+E87+E90+E92</f>
        <v>567951.23</v>
      </c>
      <c r="F93" s="988"/>
      <c r="G93" s="269"/>
      <c r="H93" s="269"/>
      <c r="I93" s="269"/>
      <c r="J93" s="269"/>
      <c r="K93" s="269"/>
      <c r="L93" s="269"/>
      <c r="M93" s="960"/>
      <c r="AA93" s="126"/>
    </row>
    <row r="94" spans="1:27" ht="15" customHeight="1" thickBot="1">
      <c r="A94" s="989"/>
      <c r="B94" s="886"/>
      <c r="C94" s="886"/>
      <c r="D94" s="886"/>
      <c r="E94" s="990"/>
      <c r="F94" s="988"/>
      <c r="G94" s="269"/>
      <c r="H94" s="269"/>
      <c r="I94" s="269"/>
      <c r="J94" s="269"/>
      <c r="K94" s="269"/>
      <c r="L94" s="269"/>
      <c r="M94" s="960"/>
      <c r="AA94" s="126"/>
    </row>
    <row r="95" spans="1:27" ht="15" customHeight="1">
      <c r="A95" s="269"/>
      <c r="B95" s="269"/>
      <c r="C95" s="269"/>
      <c r="D95" s="269"/>
      <c r="E95" s="991"/>
      <c r="F95" s="988"/>
      <c r="G95" s="302"/>
      <c r="H95" s="269"/>
      <c r="I95" s="269"/>
      <c r="J95" s="269"/>
      <c r="K95" s="269"/>
      <c r="L95" s="269"/>
      <c r="M95" s="960"/>
      <c r="AA95" s="126"/>
    </row>
    <row r="96" spans="1:27" ht="15" customHeight="1">
      <c r="A96" s="961" t="s">
        <v>646</v>
      </c>
      <c r="B96" s="302"/>
      <c r="C96" s="302"/>
      <c r="D96" s="302"/>
      <c r="E96" s="968"/>
      <c r="F96" s="988"/>
      <c r="G96" s="269"/>
      <c r="H96" s="269"/>
      <c r="I96" s="269"/>
      <c r="J96" s="269"/>
      <c r="K96" s="269"/>
      <c r="L96" s="269"/>
      <c r="M96" s="960"/>
      <c r="AA96" s="126"/>
    </row>
    <row r="97" spans="1:27" ht="15" customHeight="1">
      <c r="A97" s="269" t="s">
        <v>1233</v>
      </c>
      <c r="B97" s="269"/>
      <c r="C97" s="269"/>
      <c r="D97" s="595"/>
      <c r="E97" s="992">
        <f t="array" ref="E97">[1]!CYTRCL</f>
        <v>580485.54</v>
      </c>
      <c r="F97" s="988"/>
      <c r="G97" s="269"/>
      <c r="H97" s="269"/>
      <c r="I97" s="269"/>
      <c r="J97" s="269"/>
      <c r="K97" s="269"/>
      <c r="L97" s="269"/>
      <c r="M97" s="960"/>
      <c r="AA97" s="126"/>
    </row>
    <row r="98" spans="1:27" ht="15" customHeight="1">
      <c r="A98" s="993"/>
      <c r="B98" s="993"/>
      <c r="C98" s="993"/>
      <c r="D98" s="993"/>
      <c r="E98" s="968"/>
      <c r="F98" s="988"/>
      <c r="G98" s="269"/>
      <c r="H98" s="269"/>
      <c r="I98" s="269"/>
      <c r="J98" s="269"/>
      <c r="K98" s="269"/>
      <c r="L98" s="269"/>
      <c r="M98" s="960"/>
      <c r="AA98" s="126"/>
    </row>
    <row r="99" spans="1:27" ht="15" customHeight="1">
      <c r="A99" s="1209" t="s">
        <v>647</v>
      </c>
      <c r="B99" s="269" t="s">
        <v>1234</v>
      </c>
      <c r="C99" s="994">
        <f>TSL</f>
        <v>567951.23</v>
      </c>
      <c r="D99" s="269"/>
      <c r="E99" s="968"/>
      <c r="F99" s="988"/>
      <c r="G99" s="269"/>
      <c r="H99" s="269"/>
      <c r="I99" s="269"/>
      <c r="J99" s="269"/>
      <c r="K99" s="269"/>
      <c r="L99" s="269"/>
      <c r="M99" s="960"/>
      <c r="AA99" s="126"/>
    </row>
    <row r="100" spans="1:27" ht="15" customHeight="1" thickBot="1">
      <c r="A100" s="269"/>
      <c r="B100" s="269" t="s">
        <v>1235</v>
      </c>
      <c r="C100" s="995">
        <f t="array" ref="C100">[1]!TSL</f>
        <v>410486.75</v>
      </c>
      <c r="D100" s="269"/>
      <c r="E100" s="968"/>
      <c r="F100" s="988"/>
      <c r="G100" s="269"/>
      <c r="H100" s="269"/>
      <c r="I100" s="269"/>
      <c r="J100" s="269"/>
      <c r="K100" s="269"/>
      <c r="L100" s="269"/>
      <c r="M100" s="960"/>
      <c r="AA100" s="126"/>
    </row>
    <row r="101" spans="1:27" ht="15" customHeight="1" thickBot="1">
      <c r="A101" s="269"/>
      <c r="B101" s="269" t="s">
        <v>648</v>
      </c>
      <c r="C101" s="996">
        <f>IF(C99-C100&gt;0,C99-C100,0)</f>
        <v>157464.48000000001</v>
      </c>
      <c r="D101" s="269"/>
      <c r="E101" s="968"/>
      <c r="F101" s="988"/>
      <c r="G101" s="269"/>
      <c r="H101" s="269"/>
      <c r="I101" s="269"/>
      <c r="J101" s="269"/>
      <c r="K101" s="269"/>
      <c r="L101" s="269"/>
      <c r="M101" s="960"/>
      <c r="AA101" s="126"/>
    </row>
    <row r="102" spans="1:27" ht="15" customHeight="1">
      <c r="A102" s="269"/>
      <c r="B102" s="269"/>
      <c r="C102" s="269"/>
      <c r="D102" s="269"/>
      <c r="E102" s="968"/>
      <c r="F102" s="988"/>
      <c r="G102" s="269"/>
      <c r="H102" s="269"/>
      <c r="I102" s="269"/>
      <c r="J102" s="269"/>
      <c r="K102" s="269"/>
      <c r="L102" s="269"/>
      <c r="M102" s="960"/>
      <c r="AA102" s="126"/>
    </row>
    <row r="103" spans="1:27" ht="15" customHeight="1">
      <c r="A103" s="269" t="s">
        <v>1236</v>
      </c>
      <c r="B103" s="269"/>
      <c r="C103" s="269"/>
      <c r="D103" s="595"/>
      <c r="E103" s="992">
        <f>C101+E97</f>
        <v>737950.02</v>
      </c>
      <c r="F103" s="988"/>
      <c r="G103" s="269"/>
      <c r="H103" s="269"/>
      <c r="I103" s="269"/>
      <c r="J103" s="269"/>
      <c r="K103" s="269"/>
      <c r="L103" s="269"/>
      <c r="M103" s="960"/>
      <c r="AA103" s="126"/>
    </row>
    <row r="104" spans="1:27" ht="15" customHeight="1">
      <c r="A104" s="1209" t="s">
        <v>1237</v>
      </c>
      <c r="B104" s="595"/>
      <c r="C104" s="994">
        <f>E93*1.2</f>
        <v>681541.48</v>
      </c>
      <c r="D104" s="269"/>
      <c r="E104" s="968"/>
      <c r="F104" s="988"/>
      <c r="G104" s="269"/>
      <c r="H104" s="269"/>
      <c r="I104" s="269"/>
      <c r="J104" s="269"/>
      <c r="K104" s="269"/>
      <c r="L104" s="269"/>
      <c r="M104" s="960"/>
      <c r="AA104" s="126"/>
    </row>
    <row r="105" spans="1:27" ht="15" customHeight="1">
      <c r="A105" s="644" t="s">
        <v>1230</v>
      </c>
      <c r="B105" s="269"/>
      <c r="C105" s="269"/>
      <c r="D105" s="595"/>
      <c r="E105" s="997">
        <f>MAX(TSL,IF(PremFYTRCL&gt;AdjFYTRCL,TRCLBudgPY,PremFYTRCL))</f>
        <v>580485.54</v>
      </c>
      <c r="F105" s="988"/>
      <c r="G105" s="269"/>
      <c r="H105" s="269"/>
      <c r="I105" s="269"/>
      <c r="J105" s="269"/>
      <c r="K105" s="269"/>
      <c r="L105" s="269"/>
      <c r="M105" s="960"/>
      <c r="AA105" s="126"/>
    </row>
    <row r="106" spans="1:27" ht="15" customHeight="1">
      <c r="A106" s="269"/>
      <c r="B106" s="269"/>
      <c r="C106" s="269"/>
      <c r="D106" s="269"/>
      <c r="E106" s="269"/>
      <c r="F106" s="269"/>
      <c r="G106" s="269"/>
      <c r="H106" s="269"/>
      <c r="I106" s="269"/>
      <c r="J106" s="269"/>
      <c r="K106" s="269"/>
      <c r="L106" s="269"/>
      <c r="M106" s="960"/>
      <c r="AA106" s="126"/>
    </row>
    <row r="107" spans="1:27" ht="15" customHeight="1">
      <c r="M107" s="97"/>
      <c r="AA107" s="126"/>
    </row>
    <row r="108" spans="1:27" ht="15" customHeight="1">
      <c r="A108" s="310"/>
      <c r="B108" s="310"/>
      <c r="C108" s="310"/>
      <c r="D108" s="1845" t="str">
        <f>IF(DistrictName&lt;&gt;0,DistrictName,"")</f>
        <v>Mary C O'Brien Accommodation District</v>
      </c>
      <c r="E108" s="1845"/>
      <c r="F108" s="1845"/>
      <c r="G108" s="1845"/>
      <c r="H108" s="1845"/>
      <c r="I108" s="310"/>
      <c r="J108" s="310"/>
      <c r="K108" s="310"/>
      <c r="L108" s="310"/>
      <c r="M108" s="310"/>
      <c r="AA108" s="126"/>
    </row>
    <row r="109" spans="1:27" ht="34.5" customHeight="1">
      <c r="A109" s="309"/>
      <c r="B109" s="309"/>
      <c r="C109" s="309"/>
      <c r="D109" s="1905" t="s">
        <v>587</v>
      </c>
      <c r="E109" s="1905"/>
      <c r="F109" s="1905"/>
      <c r="G109" s="1905"/>
      <c r="H109" s="1905"/>
      <c r="I109" s="309"/>
      <c r="J109" s="309"/>
      <c r="K109" s="309"/>
      <c r="L109" s="309"/>
      <c r="M109" s="309"/>
      <c r="AA109" s="126"/>
    </row>
    <row r="110" spans="1:27" ht="15" customHeight="1" thickBot="1">
      <c r="A110" s="886"/>
      <c r="B110" s="886"/>
      <c r="C110" s="886"/>
      <c r="D110" s="886"/>
      <c r="E110" s="886"/>
      <c r="F110" s="885" t="s">
        <v>588</v>
      </c>
      <c r="G110" s="886" t="str">
        <f>IF(AND(SmallIsolatedPSD8Checkbox="X",SmallIsolated912Checkbox="X"),"Elementary and High School",IF(SmallIsolatedPSD8Checkbox="X","Elementary",IF(SmallIsolated912Checkbox="X","High School","Not Isolated")))</f>
        <v>Not Isolated</v>
      </c>
      <c r="H110" s="886"/>
      <c r="I110" s="886"/>
      <c r="J110" s="886"/>
      <c r="K110" s="886"/>
      <c r="L110" s="887" t="s">
        <v>589</v>
      </c>
      <c r="M110" s="887" t="s">
        <v>649</v>
      </c>
      <c r="AA110" s="97"/>
    </row>
    <row r="111" spans="1:27" ht="15" customHeight="1">
      <c r="A111" s="269"/>
      <c r="B111" s="269"/>
      <c r="C111" s="269"/>
      <c r="D111" s="269"/>
      <c r="E111" s="269"/>
      <c r="F111" s="269"/>
      <c r="G111" s="269"/>
      <c r="H111" s="269"/>
      <c r="I111" s="269"/>
      <c r="J111" s="269"/>
      <c r="K111" s="269"/>
      <c r="L111" s="269"/>
      <c r="M111" s="960"/>
      <c r="AA111" s="126"/>
    </row>
    <row r="112" spans="1:27" ht="20.399999999999999">
      <c r="A112" s="998" t="s">
        <v>650</v>
      </c>
      <c r="B112" s="999"/>
      <c r="C112" s="999"/>
      <c r="D112" s="999"/>
      <c r="E112" s="1000" t="s">
        <v>419</v>
      </c>
      <c r="F112" s="1001"/>
      <c r="G112" s="1000" t="s">
        <v>420</v>
      </c>
      <c r="H112" s="1001"/>
      <c r="I112" s="1002" t="s">
        <v>421</v>
      </c>
      <c r="J112" s="1001"/>
      <c r="K112" s="1003" t="s">
        <v>651</v>
      </c>
      <c r="L112" s="1004"/>
      <c r="M112" s="1000" t="s">
        <v>359</v>
      </c>
      <c r="O112" s="96"/>
      <c r="AA112" s="126"/>
    </row>
    <row r="113" spans="1:27" ht="15" customHeight="1">
      <c r="A113" s="269" t="s">
        <v>1238</v>
      </c>
      <c r="B113" s="269"/>
      <c r="C113" s="269"/>
      <c r="D113" s="269"/>
      <c r="E113" s="895">
        <f>UnweightedStudCntPSDPY</f>
        <v>0</v>
      </c>
      <c r="F113" s="1005"/>
      <c r="G113" s="895">
        <f>UnweightedStudCntK8PY</f>
        <v>115.88</v>
      </c>
      <c r="H113" s="1006"/>
      <c r="I113" s="895">
        <f>UnweightedStudCnt912PY</f>
        <v>74.778300000000002</v>
      </c>
      <c r="J113" s="1006"/>
      <c r="K113" s="921">
        <f>IF(VALUE(LEFT(RIGHT(L1,7),2))=3,(HSCountDORtoDOA),0)</f>
        <v>0</v>
      </c>
      <c r="L113" s="1007"/>
      <c r="M113" s="1008"/>
      <c r="O113" s="96"/>
      <c r="AA113" s="126"/>
    </row>
    <row r="114" spans="1:27" ht="15" customHeight="1" thickBot="1">
      <c r="A114" s="269" t="s">
        <v>652</v>
      </c>
      <c r="B114" s="269"/>
      <c r="C114" s="269"/>
      <c r="D114" s="595" t="s">
        <v>480</v>
      </c>
      <c r="E114" s="1009">
        <f>IF(E113=0,0,Calculations!L77)</f>
        <v>0</v>
      </c>
      <c r="F114" s="595" t="s">
        <v>480</v>
      </c>
      <c r="G114" s="995">
        <f>IF(VALUE(LEFT(RIGHT(L1,7),2))=8,0,IF(AND(UnweightedStudCntK8PY&gt;0,UnweightedStudCntK8PY&lt;100),Calculations!L52,IF(AND(Calculations!L56&gt;0),Calculations!L63,IF(AND(Calculations!L67&gt;0),Calculations!L74,IF(UnweightedStudCntK8PY&gt;=600,Calculations!L77,0)))))</f>
        <v>660.94</v>
      </c>
      <c r="H114" s="595" t="s">
        <v>480</v>
      </c>
      <c r="I114" s="995">
        <f>IF(I113=0,0,IF(VALUE(LEFT(RIGHT(L1,7),2))=3,AA168/2,AA168))</f>
        <v>732.87</v>
      </c>
      <c r="J114" s="595" t="s">
        <v>480</v>
      </c>
      <c r="K114" s="1010">
        <f>IF(K113=0,0,IF(VALUE(LEFT(RIGHT(L1,7),2))=3,AA168/2,AA168))</f>
        <v>0</v>
      </c>
      <c r="L114" s="1011"/>
      <c r="M114" s="1012"/>
      <c r="O114" s="96"/>
      <c r="AA114" s="126"/>
    </row>
    <row r="115" spans="1:27" ht="15" customHeight="1">
      <c r="A115" s="1294" t="s">
        <v>653</v>
      </c>
      <c r="B115" s="269"/>
      <c r="C115" s="269"/>
      <c r="D115" s="595" t="s">
        <v>479</v>
      </c>
      <c r="E115" s="994">
        <f>IF(E113&gt;0,ROUND(E113*E114,2),0)</f>
        <v>0</v>
      </c>
      <c r="F115" s="595" t="s">
        <v>479</v>
      </c>
      <c r="G115" s="994">
        <f>IF(G113&gt;0,ROUND(G113*G114,2),0)</f>
        <v>76589.73</v>
      </c>
      <c r="H115" s="595" t="s">
        <v>479</v>
      </c>
      <c r="I115" s="994">
        <f>IF(OR(I113&gt;0),I113*I114,0)</f>
        <v>54802.77</v>
      </c>
      <c r="J115" s="595" t="s">
        <v>479</v>
      </c>
      <c r="K115" s="1013">
        <f>IF(OR(K113&gt;0),K113*K114,0)</f>
        <v>0</v>
      </c>
      <c r="L115" s="1014"/>
      <c r="M115" s="1015">
        <f>(E113*E114)+(G113*G114)+(I113*I114)+(K113*K114)</f>
        <v>131392.5</v>
      </c>
      <c r="O115" s="96"/>
      <c r="AA115" s="97"/>
    </row>
    <row r="116" spans="1:27" ht="15" customHeight="1">
      <c r="A116" s="1016" t="s">
        <v>654</v>
      </c>
      <c r="B116" s="269"/>
      <c r="C116" s="269"/>
      <c r="D116" s="269"/>
      <c r="E116" s="595"/>
      <c r="F116" s="269"/>
      <c r="G116" s="595"/>
      <c r="H116" s="269"/>
      <c r="I116" s="595"/>
      <c r="J116" s="269"/>
      <c r="K116" s="595"/>
      <c r="L116" s="269"/>
      <c r="M116" s="1008"/>
      <c r="N116" s="96"/>
      <c r="O116" s="96"/>
      <c r="AA116" s="126"/>
    </row>
    <row r="117" spans="1:27" ht="15" customHeight="1">
      <c r="A117" s="961" t="s">
        <v>655</v>
      </c>
      <c r="B117" s="269"/>
      <c r="C117" s="269"/>
      <c r="D117" s="269"/>
      <c r="E117" s="595"/>
      <c r="F117" s="269"/>
      <c r="G117" s="595"/>
      <c r="H117" s="269"/>
      <c r="I117" s="595"/>
      <c r="J117" s="269"/>
      <c r="K117" s="595"/>
      <c r="L117" s="269"/>
      <c r="M117" s="1008"/>
      <c r="N117" s="96"/>
      <c r="O117" s="96"/>
      <c r="AA117" s="126"/>
    </row>
    <row r="118" spans="1:27" ht="15" customHeight="1">
      <c r="A118" s="269" t="s">
        <v>1238</v>
      </c>
      <c r="B118" s="269"/>
      <c r="C118" s="892">
        <f>IF(VALUE(LEFT(RIGHT(L1,7),2))=3,'Data Entry'!G29+UnweightedStudCntK8PY+UnweightedStudCnt912PY+HSCountDORtoDOA,'Data Entry'!G29+UnweightedStudCntK8PY+UnweightedStudCnt912PY)</f>
        <v>190.6583</v>
      </c>
      <c r="D118" s="269"/>
      <c r="E118" s="595"/>
      <c r="F118" s="269"/>
      <c r="G118" s="595"/>
      <c r="H118" s="269"/>
      <c r="I118" s="595"/>
      <c r="J118" s="269"/>
      <c r="K118" s="595"/>
      <c r="L118" s="269"/>
      <c r="M118" s="1008"/>
      <c r="N118" s="96"/>
      <c r="O118" s="96"/>
      <c r="AA118" s="126"/>
    </row>
    <row r="119" spans="1:27" ht="15" customHeight="1" thickBot="1">
      <c r="A119" s="269" t="s">
        <v>1239</v>
      </c>
      <c r="B119" s="595" t="s">
        <v>656</v>
      </c>
      <c r="C119" s="1017">
        <f>PY100DayADM</f>
        <v>187.42509999999999</v>
      </c>
      <c r="D119" s="269"/>
      <c r="E119" s="595"/>
      <c r="F119" s="269"/>
      <c r="G119" s="595"/>
      <c r="H119" s="269"/>
      <c r="I119" s="595"/>
      <c r="J119" s="269"/>
      <c r="K119" s="595"/>
      <c r="L119" s="269"/>
      <c r="M119" s="1008"/>
      <c r="N119" s="96"/>
      <c r="O119" s="96"/>
      <c r="AA119" s="126"/>
    </row>
    <row r="120" spans="1:27" ht="15" customHeight="1">
      <c r="A120" s="269" t="s">
        <v>1240</v>
      </c>
      <c r="B120" s="595" t="s">
        <v>479</v>
      </c>
      <c r="C120" s="892">
        <f>IF(C119&gt;0,ROUND(+C118/C119,10),0)</f>
        <v>1.0173000000000001</v>
      </c>
      <c r="E120" s="1215"/>
      <c r="G120" s="1215"/>
      <c r="I120" s="1215"/>
      <c r="K120" s="1215"/>
      <c r="L120" s="269"/>
      <c r="M120" s="1008"/>
      <c r="N120" s="96"/>
      <c r="O120" s="96"/>
      <c r="AA120" s="126"/>
    </row>
    <row r="121" spans="1:27" ht="15" customHeight="1" thickBot="1">
      <c r="A121" s="269" t="s">
        <v>1241</v>
      </c>
      <c r="B121" s="269"/>
      <c r="C121" s="269"/>
      <c r="D121" s="595" t="s">
        <v>480</v>
      </c>
      <c r="E121" s="1018">
        <f>IF(IF(C119&gt;0,ROUND(+C118/C119,10),0)&gt;0,IF(IF(C119&gt;0,ROUND(+C118/C119,10),0)&gt;1.05,+(IF(C119&gt;0,ROUND(+C118/C119,10),0)-1)/2+1,1),0)</f>
        <v>1</v>
      </c>
      <c r="F121" s="595" t="s">
        <v>480</v>
      </c>
      <c r="G121" s="1018">
        <f>IF(IF(C119&gt;0,ROUND(+C118/C119,10),0)&gt;0,IF(IF(C119&gt;0,ROUND(+C118/C119,10),0)&gt;1.05,+(IF(C119&gt;0,ROUND(+C118/C119,10),0)-1)/2+1,1),0)</f>
        <v>1</v>
      </c>
      <c r="H121" s="595" t="s">
        <v>480</v>
      </c>
      <c r="I121" s="1018">
        <f>IF(IF(C119&gt;0,ROUND(+C118/C119,10),0)&gt;0,IF(IF(C119&gt;0,ROUND(+C118/C119,10),0)&gt;1.05,+(IF(C119&gt;0,ROUND(+C118/C119,10),0)-1)/2+1,1),0)</f>
        <v>1</v>
      </c>
      <c r="J121" s="595" t="s">
        <v>480</v>
      </c>
      <c r="K121" s="1018">
        <f>IF(IF(C119&gt;0,ROUND(+C118/C119,10),0)&gt;0,IF(IF(C119&gt;0,ROUND(+C118/C119,10),0)&gt;1.05,+(IF(C119&gt;0,ROUND(+C118/C119,10),0)-1)/2+1,1),0)</f>
        <v>1</v>
      </c>
      <c r="L121" s="269"/>
      <c r="M121" s="1008"/>
      <c r="N121" s="96"/>
      <c r="O121" s="96"/>
      <c r="AA121" s="126"/>
    </row>
    <row r="122" spans="1:27" ht="15" customHeight="1">
      <c r="A122" s="1912" t="s">
        <v>657</v>
      </c>
      <c r="B122" s="1912"/>
      <c r="C122" s="1912"/>
      <c r="D122" s="1019"/>
      <c r="E122" s="269"/>
      <c r="F122" s="269"/>
      <c r="G122" s="269"/>
      <c r="H122" s="269"/>
      <c r="I122" s="269"/>
      <c r="J122" s="269"/>
      <c r="K122" s="595"/>
      <c r="L122" s="269"/>
      <c r="M122" s="595"/>
      <c r="N122" s="96"/>
      <c r="O122" s="96"/>
      <c r="AA122" s="126"/>
    </row>
    <row r="123" spans="1:27" ht="15" customHeight="1">
      <c r="A123" s="1912"/>
      <c r="B123" s="1912"/>
      <c r="C123" s="1912"/>
      <c r="D123" s="1019"/>
      <c r="E123" s="269"/>
      <c r="F123" s="269"/>
      <c r="G123" s="269"/>
      <c r="H123" s="269"/>
      <c r="I123" s="269"/>
      <c r="J123" s="269"/>
      <c r="K123" s="595"/>
      <c r="L123" s="269"/>
      <c r="M123" s="1008"/>
      <c r="N123" s="96"/>
      <c r="O123" s="96"/>
      <c r="AA123" s="126"/>
    </row>
    <row r="124" spans="1:27" ht="15" customHeight="1">
      <c r="A124" s="1294" t="s">
        <v>658</v>
      </c>
      <c r="B124" s="269"/>
      <c r="C124" s="269"/>
      <c r="D124" s="269"/>
      <c r="E124" s="940">
        <f>IF(E121&gt;0,ROUND(E115*E121,2),0)</f>
        <v>0</v>
      </c>
      <c r="F124" s="882"/>
      <c r="G124" s="1015">
        <f>IF(G121&gt;0,ROUND(G115*G121,2),0)</f>
        <v>76589.73</v>
      </c>
      <c r="H124" s="882"/>
      <c r="I124" s="1015">
        <f>IF(I121&gt;0,ROUND(I115*I121,2),0)</f>
        <v>54802.77</v>
      </c>
      <c r="J124" s="882"/>
      <c r="K124" s="1015">
        <f>IF(K121&gt;0,ROUND(K115*K121,2),0)</f>
        <v>0</v>
      </c>
      <c r="L124" s="1294"/>
      <c r="M124" s="1015">
        <f>(IF(E121&gt;0,(E113*E114)*E121,0))+(IF(G121&gt;0,(G113*G114)*G121,0))+(IF(K121&gt;0,(K113*K114)*I121,0))+(IF(I121&gt;0,(I113*I114)*I121,0))</f>
        <v>131392.5</v>
      </c>
      <c r="N124" s="96"/>
      <c r="O124" s="96"/>
      <c r="AA124" s="126"/>
    </row>
    <row r="125" spans="1:27" ht="15" customHeight="1">
      <c r="A125" s="269"/>
      <c r="B125" s="269"/>
      <c r="C125" s="269"/>
      <c r="D125" s="269"/>
      <c r="E125" s="269"/>
      <c r="F125" s="269"/>
      <c r="G125" s="269"/>
      <c r="H125" s="269"/>
      <c r="I125" s="269"/>
      <c r="J125" s="269"/>
      <c r="K125" s="269"/>
      <c r="L125" s="269"/>
      <c r="M125" s="1008"/>
      <c r="N125" s="96"/>
      <c r="O125" s="96"/>
      <c r="AA125" s="126"/>
    </row>
    <row r="126" spans="1:27" ht="15" customHeight="1" thickBot="1">
      <c r="A126" s="1020" t="s">
        <v>659</v>
      </c>
      <c r="B126" s="269"/>
      <c r="C126" s="269"/>
      <c r="D126" s="269"/>
      <c r="E126" s="269"/>
      <c r="F126" s="269"/>
      <c r="G126" s="269"/>
      <c r="H126" s="269"/>
      <c r="I126" s="269"/>
      <c r="J126" s="269"/>
      <c r="K126" s="269"/>
      <c r="L126" s="269"/>
      <c r="M126" s="1008"/>
      <c r="N126" s="96"/>
      <c r="O126" s="96"/>
      <c r="AA126" s="126"/>
    </row>
    <row r="127" spans="1:27" ht="15" customHeight="1">
      <c r="A127" s="269" t="s">
        <v>1242</v>
      </c>
      <c r="B127" s="269"/>
      <c r="C127" s="269"/>
      <c r="D127" s="269"/>
      <c r="E127" s="269"/>
      <c r="F127" s="269"/>
      <c r="G127" s="269"/>
      <c r="H127" s="269"/>
      <c r="I127" s="892">
        <f>UnweightedStudCnt912PY</f>
        <v>74.778300000000002</v>
      </c>
      <c r="J127" s="269"/>
      <c r="K127" s="269"/>
      <c r="L127" s="269"/>
      <c r="M127" s="595"/>
      <c r="N127" s="96"/>
      <c r="O127" s="96"/>
      <c r="AA127" s="126"/>
    </row>
    <row r="128" spans="1:27" ht="15" customHeight="1">
      <c r="A128" s="269" t="s">
        <v>660</v>
      </c>
      <c r="B128" s="269"/>
      <c r="C128" s="269"/>
      <c r="D128" s="269"/>
      <c r="E128" s="269"/>
      <c r="F128" s="269"/>
      <c r="G128" s="269"/>
      <c r="H128" s="595" t="s">
        <v>480</v>
      </c>
      <c r="I128" s="1021">
        <v>84.93</v>
      </c>
      <c r="J128" s="269"/>
      <c r="K128" s="269"/>
      <c r="L128" s="269"/>
      <c r="M128" s="1008"/>
      <c r="N128" s="96"/>
      <c r="O128" s="96"/>
      <c r="AA128" s="126"/>
    </row>
    <row r="129" spans="1:28" ht="15" customHeight="1">
      <c r="A129" s="898" t="s">
        <v>659</v>
      </c>
      <c r="B129" s="269"/>
      <c r="C129" s="269"/>
      <c r="D129" s="269"/>
      <c r="E129" s="269"/>
      <c r="F129" s="269"/>
      <c r="G129" s="269"/>
      <c r="H129" s="269"/>
      <c r="I129" s="595"/>
      <c r="J129" s="269"/>
      <c r="K129" s="269"/>
      <c r="L129" s="269"/>
      <c r="M129" s="1015">
        <f>IF(I127&gt;0,ROUND(+I127*I128,2),0)</f>
        <v>6350.92</v>
      </c>
      <c r="N129" s="96"/>
      <c r="O129" s="96"/>
      <c r="AA129" s="126"/>
    </row>
    <row r="130" spans="1:28" ht="15" customHeight="1">
      <c r="A130" s="269"/>
      <c r="B130" s="269"/>
      <c r="C130" s="269"/>
      <c r="D130" s="269"/>
      <c r="E130" s="269"/>
      <c r="F130" s="269"/>
      <c r="G130" s="269"/>
      <c r="H130" s="269"/>
      <c r="I130" s="269"/>
      <c r="J130" s="269"/>
      <c r="K130" s="269"/>
      <c r="L130" s="269"/>
      <c r="M130" s="1022"/>
      <c r="N130" s="96"/>
      <c r="O130" s="96"/>
      <c r="AA130" s="126"/>
    </row>
    <row r="131" spans="1:28" ht="15" customHeight="1" thickBot="1">
      <c r="A131" s="269"/>
      <c r="B131" s="269"/>
      <c r="C131" s="269"/>
      <c r="D131" s="269"/>
      <c r="E131" s="1023" t="s">
        <v>661</v>
      </c>
      <c r="F131" s="269"/>
      <c r="G131" s="1023" t="s">
        <v>421</v>
      </c>
      <c r="H131" s="269"/>
      <c r="I131" s="269"/>
      <c r="J131" s="269"/>
      <c r="K131" s="269"/>
      <c r="L131" s="269"/>
      <c r="M131" s="1022"/>
      <c r="N131" s="96"/>
      <c r="O131" s="96"/>
      <c r="AA131" s="126"/>
    </row>
    <row r="132" spans="1:28" ht="15" customHeight="1">
      <c r="A132" s="1294" t="s">
        <v>662</v>
      </c>
      <c r="B132" s="269"/>
      <c r="C132" s="269"/>
      <c r="D132" s="269"/>
      <c r="E132" s="994">
        <f>E124+G124</f>
        <v>76589.73</v>
      </c>
      <c r="F132" s="1024"/>
      <c r="G132" s="994">
        <f>I124+M129</f>
        <v>61153.69</v>
      </c>
      <c r="H132" s="269"/>
      <c r="I132" s="269"/>
      <c r="J132" s="269"/>
      <c r="K132" s="269"/>
      <c r="L132" s="269"/>
      <c r="M132" s="1015">
        <f>E132+G132+G133</f>
        <v>137743.42000000001</v>
      </c>
      <c r="N132" s="96"/>
      <c r="O132" s="96"/>
      <c r="AA132" s="126"/>
    </row>
    <row r="133" spans="1:28" ht="15" customHeight="1">
      <c r="A133" s="644" t="s">
        <v>651</v>
      </c>
      <c r="B133" s="269"/>
      <c r="C133" s="269"/>
      <c r="D133" s="305"/>
      <c r="E133" s="994"/>
      <c r="F133" s="1024"/>
      <c r="G133" s="994">
        <f>K124</f>
        <v>0</v>
      </c>
      <c r="H133" s="269"/>
      <c r="I133" s="269"/>
      <c r="J133" s="269"/>
      <c r="K133" s="269"/>
      <c r="L133" s="269"/>
      <c r="M133" s="1025"/>
      <c r="N133" s="96"/>
      <c r="O133" s="96"/>
      <c r="AA133" s="126"/>
    </row>
    <row r="134" spans="1:28" ht="15" customHeight="1" thickBot="1">
      <c r="A134" s="269"/>
      <c r="B134" s="269"/>
      <c r="C134" s="269"/>
      <c r="D134" s="269"/>
      <c r="E134" s="1009">
        <f>CapTransportAdjPSD+CapTransportAdjK8</f>
        <v>0</v>
      </c>
      <c r="F134" s="1024"/>
      <c r="G134" s="1009">
        <f>CapTransportAdj912</f>
        <v>0</v>
      </c>
      <c r="H134" s="269"/>
      <c r="I134" s="269"/>
      <c r="J134" s="269"/>
      <c r="K134" s="269"/>
      <c r="L134" s="269"/>
      <c r="M134" s="1026">
        <f>E134+G134</f>
        <v>0</v>
      </c>
      <c r="N134" s="96"/>
      <c r="O134" s="96"/>
      <c r="AA134" s="126"/>
    </row>
    <row r="135" spans="1:28" ht="15" customHeight="1">
      <c r="A135" s="1294" t="s">
        <v>663</v>
      </c>
      <c r="B135" s="269"/>
      <c r="C135" s="269"/>
      <c r="D135" s="269"/>
      <c r="E135" s="994">
        <f>SUM(E134)</f>
        <v>0</v>
      </c>
      <c r="F135" s="1024"/>
      <c r="G135" s="994">
        <f>G134</f>
        <v>0</v>
      </c>
      <c r="H135" s="269"/>
      <c r="I135" s="269"/>
      <c r="J135" s="269"/>
      <c r="K135" s="269"/>
      <c r="L135" s="269"/>
      <c r="M135" s="1015">
        <f>E135+G135</f>
        <v>0</v>
      </c>
      <c r="N135" s="96"/>
      <c r="O135" s="96"/>
      <c r="AA135" s="126"/>
    </row>
    <row r="136" spans="1:28" ht="15" customHeight="1">
      <c r="A136" s="1294" t="s">
        <v>889</v>
      </c>
      <c r="B136" s="269"/>
      <c r="C136" s="269"/>
      <c r="D136" s="269"/>
      <c r="E136" s="994">
        <f>E132+E135</f>
        <v>76589.73</v>
      </c>
      <c r="F136" s="1024"/>
      <c r="G136" s="994">
        <f>G135+G132+G133</f>
        <v>61153.69</v>
      </c>
      <c r="H136" s="269"/>
      <c r="I136" s="269"/>
      <c r="J136" s="269"/>
      <c r="K136" s="269"/>
      <c r="L136" s="269"/>
      <c r="M136" s="940">
        <f>E136+G136</f>
        <v>137743.42000000001</v>
      </c>
      <c r="N136" s="96"/>
      <c r="O136" s="96"/>
      <c r="AA136" s="126"/>
    </row>
    <row r="137" spans="1:28" ht="15" customHeight="1">
      <c r="E137" s="208"/>
      <c r="AA137" s="126"/>
    </row>
    <row r="138" spans="1:28" ht="15" customHeight="1">
      <c r="AA138" s="126"/>
    </row>
    <row r="139" spans="1:28" ht="15" customHeight="1">
      <c r="A139" s="310"/>
      <c r="B139" s="310"/>
      <c r="C139" s="310"/>
      <c r="D139" s="1845" t="str">
        <f>IF(DistrictName&lt;&gt;0,DistrictName,"")</f>
        <v>Mary C O'Brien Accommodation District</v>
      </c>
      <c r="E139" s="1845"/>
      <c r="F139" s="1845"/>
      <c r="G139" s="1845"/>
      <c r="H139" s="1845"/>
      <c r="I139" s="310"/>
      <c r="J139" s="310"/>
      <c r="K139" s="310"/>
      <c r="L139" s="310"/>
      <c r="M139" s="310"/>
    </row>
    <row r="140" spans="1:28" ht="34.5" customHeight="1">
      <c r="A140" s="309"/>
      <c r="B140" s="309"/>
      <c r="C140" s="309"/>
      <c r="D140" s="1905" t="s">
        <v>587</v>
      </c>
      <c r="E140" s="1905"/>
      <c r="F140" s="1905"/>
      <c r="G140" s="1905"/>
      <c r="H140" s="1905"/>
      <c r="I140" s="309"/>
      <c r="J140" s="309"/>
      <c r="K140" s="309"/>
      <c r="L140" s="309"/>
      <c r="M140" s="309"/>
      <c r="AA140" s="1027" t="str">
        <f>IF(AND(VALUE(LEFT(RIGHT(L1,7),2))=3,DailyRteMilesPerElgStud&gt;1),0.18,IF(AND(VALUE(LEFT(RIGHT(L1,7),2))=3,DailyRteMilesPerElgStud&lt;=1),0.15," "))</f>
        <v xml:space="preserve"> </v>
      </c>
    </row>
    <row r="141" spans="1:28" ht="15" customHeight="1" thickBot="1">
      <c r="A141" s="886"/>
      <c r="B141" s="886"/>
      <c r="C141" s="886"/>
      <c r="D141" s="886"/>
      <c r="E141" s="886"/>
      <c r="F141" s="885" t="s">
        <v>588</v>
      </c>
      <c r="G141" s="886" t="str">
        <f>IF(AND(SmallIsolatedPSD8Checkbox="X",SmallIsolated912Checkbox="X"),"Elementary and High School",IF(SmallIsolatedPSD8Checkbox="X","Elementary",IF(SmallIsolated912Checkbox="X","High School","Not Isolated")))</f>
        <v>Not Isolated</v>
      </c>
      <c r="H141" s="886"/>
      <c r="I141" s="886"/>
      <c r="J141" s="886"/>
      <c r="K141" s="886"/>
      <c r="L141" s="887" t="s">
        <v>589</v>
      </c>
      <c r="M141" s="887" t="s">
        <v>664</v>
      </c>
      <c r="AA141" s="1027" t="str">
        <f>IF(AND(VALUE(LEFT(RIGHT(L1,7),2))=2,DailyRteMilesPerElgStud&gt;1),0.18,IF(AND(VALUE(LEFT(RIGHT(L1,7),2))=2,DailyRteMilesPerElgStud&lt;=1),0.15," "))</f>
        <v xml:space="preserve"> </v>
      </c>
      <c r="AB141" s="250"/>
    </row>
    <row r="142" spans="1:28" ht="15" customHeight="1">
      <c r="A142" s="1028" t="s">
        <v>665</v>
      </c>
      <c r="B142" s="269"/>
      <c r="C142" s="269"/>
      <c r="D142" s="269"/>
      <c r="E142" s="302"/>
      <c r="F142" s="269"/>
      <c r="G142" s="302"/>
      <c r="H142" s="269"/>
      <c r="I142" s="1906" t="s">
        <v>666</v>
      </c>
      <c r="J142" s="302"/>
      <c r="K142" s="269"/>
      <c r="L142" s="302"/>
      <c r="M142" s="960"/>
      <c r="N142" s="96"/>
      <c r="AA142" s="1027" t="str">
        <f>IF(AND(VALUE(LEFT(RIGHT(L1,7),2))=4,DailyRteMilesPerElgStud&gt;1),0.12,IF(AND(VALUE(LEFT(RIGHT(L1,7),2))=4,DailyRteMilesPerElgStud&lt;=1),0.1," "))</f>
        <v xml:space="preserve"> </v>
      </c>
    </row>
    <row r="143" spans="1:28" ht="15" customHeight="1" thickBot="1">
      <c r="A143" s="269"/>
      <c r="B143" s="269"/>
      <c r="C143" s="269"/>
      <c r="D143" s="269"/>
      <c r="E143" s="1029" t="s">
        <v>667</v>
      </c>
      <c r="F143" s="269"/>
      <c r="G143" s="1023" t="s">
        <v>668</v>
      </c>
      <c r="H143" s="269"/>
      <c r="I143" s="1907"/>
      <c r="J143" s="302"/>
      <c r="K143" s="269"/>
      <c r="L143" s="1023" t="s">
        <v>890</v>
      </c>
      <c r="M143" s="960"/>
      <c r="N143" s="96"/>
      <c r="AA143" s="1027" t="str">
        <f>IF(AND(VALUE(LEFT(RIGHT(L1,7),2))=5,DailyRteMilesPerElgStud&gt;1),0.3,IF(AND(VALUE(LEFT(RIGHT(L1,7),2))=5,DailyRteMilesPerElgStud&lt;=1),0.25," "))</f>
        <v xml:space="preserve"> </v>
      </c>
    </row>
    <row r="144" spans="1:28" ht="15" customHeight="1">
      <c r="A144" s="269" t="s">
        <v>661</v>
      </c>
      <c r="B144" s="269"/>
      <c r="C144" s="269"/>
      <c r="D144" s="269"/>
      <c r="E144" s="892">
        <f>((C7*F7)+(D7*F7)+(E7*F7)+(C8*F8)+(D8*F8)+(E8*F8))</f>
        <v>161.44399999999999</v>
      </c>
      <c r="F144" s="269"/>
      <c r="G144" s="1030">
        <f>ROUND(IF(E146&gt;0,(((C7*F7)+(D7*F7)+(E7*F7)+(C8*F8)+(D8*F8)+(E8*F8))/(((C7*F7)+(D7*F7)+(E7*F7)+(C8*F8)+(D8*F8)+(E8*F8))+((C9*F9)+(D9*F9)+(E9*F9)))),0),10)</f>
        <v>0.58068502259999999</v>
      </c>
      <c r="H144" s="595" t="s">
        <v>480</v>
      </c>
      <c r="I144" s="1031">
        <f>IF(VALUE(LEFT(RIGHT(L1,7),2))=3,G144*J90,MIN(DSL,RCL))</f>
        <v>2125764.2200000002</v>
      </c>
      <c r="J144" s="1032"/>
      <c r="K144" s="269"/>
      <c r="L144" s="1033">
        <f>G144*I144</f>
        <v>1234399.44</v>
      </c>
      <c r="M144" s="960"/>
      <c r="N144" s="96"/>
      <c r="AA144" s="1027">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0.18</v>
      </c>
    </row>
    <row r="145" spans="1:27" ht="15" customHeight="1">
      <c r="A145" s="289" t="s">
        <v>421</v>
      </c>
      <c r="B145" s="269"/>
      <c r="C145" s="269"/>
      <c r="D145" s="269"/>
      <c r="E145" s="892">
        <f>((C9*F9)+(D9*F9)+(E9*F9))</f>
        <v>116.57940000000001</v>
      </c>
      <c r="F145" s="269"/>
      <c r="G145" s="1030">
        <f>ROUND(IF(E146&gt;0,(((C9*F9)+(D9*F9)+(E9*F9))/(((C7*F7)+(D7*F7)+(E7*F7)+(C8*F8)+(D8*F8)+(E8*F8))+((C9*F9)+(D9*F9)+(E9*F9)))),0),10)</f>
        <v>0.41931497740000001</v>
      </c>
      <c r="H145" s="595" t="s">
        <v>480</v>
      </c>
      <c r="I145" s="1031">
        <f>IF(VALUE(LEFT(RIGHT(L1,7),2))=3,G144*J90,MIN(DSL,RCL))</f>
        <v>2125764.2200000002</v>
      </c>
      <c r="J145" s="1032"/>
      <c r="K145" s="595" t="s">
        <v>481</v>
      </c>
      <c r="L145" s="1024">
        <f>G145*I145</f>
        <v>891364.78</v>
      </c>
      <c r="M145" s="960"/>
      <c r="N145" s="96"/>
      <c r="AA145" s="126"/>
    </row>
    <row r="146" spans="1:27" ht="15" customHeight="1" thickBot="1">
      <c r="A146" s="1029" t="s">
        <v>359</v>
      </c>
      <c r="B146" s="886"/>
      <c r="C146" s="886"/>
      <c r="D146" s="886"/>
      <c r="E146" s="1034">
        <f>E144+E145</f>
        <v>278.02339999999998</v>
      </c>
      <c r="F146" s="886"/>
      <c r="G146" s="886"/>
      <c r="H146" s="886"/>
      <c r="I146" s="886"/>
      <c r="J146" s="886"/>
      <c r="K146" s="886"/>
      <c r="L146" s="1035">
        <f>SUM(L144:L145)</f>
        <v>2125764.2200000002</v>
      </c>
      <c r="M146" s="977"/>
      <c r="N146" s="96"/>
      <c r="AA146" s="126"/>
    </row>
    <row r="147" spans="1:27" ht="15" customHeight="1">
      <c r="A147" s="269"/>
      <c r="B147" s="269"/>
      <c r="C147" s="269"/>
      <c r="D147" s="269"/>
      <c r="E147" s="269"/>
      <c r="F147" s="269"/>
      <c r="G147" s="269"/>
      <c r="H147" s="269"/>
      <c r="I147" s="269"/>
      <c r="J147" s="269"/>
      <c r="K147" s="269"/>
      <c r="L147" s="269"/>
      <c r="M147" s="960"/>
      <c r="N147" s="96"/>
      <c r="AA147" s="126"/>
    </row>
    <row r="148" spans="1:27" ht="15" customHeight="1" thickBot="1">
      <c r="A148" s="1028" t="s">
        <v>669</v>
      </c>
      <c r="B148" s="269"/>
      <c r="C148" s="269"/>
      <c r="D148" s="269"/>
      <c r="E148" s="1023" t="s">
        <v>661</v>
      </c>
      <c r="F148" s="269"/>
      <c r="G148" s="1023" t="s">
        <v>670</v>
      </c>
      <c r="H148" s="269"/>
      <c r="I148" s="269"/>
      <c r="J148" s="269"/>
      <c r="K148" s="269"/>
      <c r="L148" s="1023" t="s">
        <v>359</v>
      </c>
      <c r="M148" s="960"/>
      <c r="N148" s="96"/>
      <c r="AA148" s="126"/>
    </row>
    <row r="149" spans="1:27" ht="15" customHeight="1">
      <c r="A149" s="269" t="s">
        <v>671</v>
      </c>
      <c r="B149" s="269"/>
      <c r="C149" s="269"/>
      <c r="D149" s="269"/>
      <c r="E149" s="994">
        <f>PAV</f>
        <v>0</v>
      </c>
      <c r="F149" s="1024"/>
      <c r="G149" s="994">
        <f>PAV</f>
        <v>0</v>
      </c>
      <c r="H149" s="269"/>
      <c r="I149" s="269"/>
      <c r="J149" s="269"/>
      <c r="K149" s="269"/>
      <c r="L149" s="269"/>
      <c r="M149" s="960"/>
      <c r="N149" s="96"/>
      <c r="AA149" s="126"/>
    </row>
    <row r="150" spans="1:27" ht="15" customHeight="1">
      <c r="A150" s="269" t="s">
        <v>672</v>
      </c>
      <c r="B150" s="269"/>
      <c r="C150" s="269"/>
      <c r="D150" s="269"/>
      <c r="E150" s="994">
        <f>_PAV2</f>
        <v>0</v>
      </c>
      <c r="F150" s="1024"/>
      <c r="G150" s="994">
        <f>_PAV2</f>
        <v>0</v>
      </c>
      <c r="H150" s="269"/>
      <c r="I150" s="269"/>
      <c r="J150" s="269"/>
      <c r="K150" s="269"/>
      <c r="L150" s="269"/>
      <c r="M150" s="960"/>
      <c r="N150" s="96"/>
      <c r="AA150" s="126"/>
    </row>
    <row r="151" spans="1:27" ht="15" customHeight="1">
      <c r="A151" s="269" t="s">
        <v>673</v>
      </c>
      <c r="B151" s="269"/>
      <c r="C151" s="269"/>
      <c r="D151" s="269"/>
      <c r="E151" s="994">
        <f>SRPV</f>
        <v>0</v>
      </c>
      <c r="F151" s="1024"/>
      <c r="G151" s="994">
        <f>SRPV</f>
        <v>0</v>
      </c>
      <c r="H151" s="269"/>
      <c r="I151" s="269"/>
      <c r="J151" s="269"/>
      <c r="K151" s="269"/>
      <c r="L151" s="269"/>
      <c r="M151" s="960"/>
      <c r="N151" s="96"/>
      <c r="AA151" s="126"/>
    </row>
    <row r="152" spans="1:27" ht="15" customHeight="1" thickBot="1">
      <c r="A152" s="269" t="s">
        <v>674</v>
      </c>
      <c r="B152" s="269"/>
      <c r="C152" s="269"/>
      <c r="D152" s="269"/>
      <c r="E152" s="995">
        <f>GPLETV</f>
        <v>0</v>
      </c>
      <c r="F152" s="1024"/>
      <c r="G152" s="995">
        <f>GPLETV</f>
        <v>0</v>
      </c>
      <c r="H152" s="269"/>
      <c r="I152" s="269"/>
      <c r="J152" s="269"/>
      <c r="K152" s="269"/>
      <c r="L152" s="269"/>
      <c r="M152" s="960"/>
      <c r="N152" s="96"/>
      <c r="AA152" s="126"/>
    </row>
    <row r="153" spans="1:27" ht="15" customHeight="1">
      <c r="A153" s="1294" t="s">
        <v>675</v>
      </c>
      <c r="B153" s="269"/>
      <c r="C153" s="269"/>
      <c r="D153" s="269"/>
      <c r="E153" s="994">
        <f>SUM(E149:E152)</f>
        <v>0</v>
      </c>
      <c r="F153" s="1024"/>
      <c r="G153" s="994">
        <f>SUM(G149:G152)</f>
        <v>0</v>
      </c>
      <c r="H153" s="269"/>
      <c r="I153" s="269"/>
      <c r="J153" s="269"/>
      <c r="K153" s="269"/>
      <c r="L153" s="269"/>
      <c r="M153" s="960"/>
      <c r="N153" s="96"/>
      <c r="AA153" s="126"/>
    </row>
    <row r="154" spans="1:27" ht="15" customHeight="1" thickBot="1">
      <c r="A154" s="269"/>
      <c r="B154" s="269"/>
      <c r="C154" s="269"/>
      <c r="D154" s="595" t="s">
        <v>656</v>
      </c>
      <c r="E154" s="885">
        <v>100</v>
      </c>
      <c r="F154" s="595" t="s">
        <v>656</v>
      </c>
      <c r="G154" s="885">
        <v>100</v>
      </c>
      <c r="H154" s="269"/>
      <c r="I154" s="269"/>
      <c r="J154" s="269"/>
      <c r="K154" s="269"/>
      <c r="L154" s="269"/>
      <c r="M154" s="960"/>
      <c r="N154" s="96"/>
      <c r="AA154" s="126"/>
    </row>
    <row r="155" spans="1:27" ht="15" customHeight="1">
      <c r="A155" s="269"/>
      <c r="B155" s="269"/>
      <c r="C155" s="269"/>
      <c r="D155" s="269"/>
      <c r="E155" s="994">
        <f>E153/E154</f>
        <v>0</v>
      </c>
      <c r="F155" s="1024"/>
      <c r="G155" s="994">
        <f>G153/G154</f>
        <v>0</v>
      </c>
      <c r="H155" s="269"/>
      <c r="I155" s="269"/>
      <c r="J155" s="269"/>
      <c r="K155" s="269"/>
      <c r="L155" s="269"/>
      <c r="M155" s="960"/>
      <c r="N155" s="96"/>
      <c r="AA155" s="126"/>
    </row>
    <row r="156" spans="1:27" ht="15" customHeight="1" thickBot="1">
      <c r="A156" s="269" t="s">
        <v>676</v>
      </c>
      <c r="B156" s="269"/>
      <c r="C156" s="269"/>
      <c r="D156" s="595" t="s">
        <v>480</v>
      </c>
      <c r="E156" s="1018">
        <f>IF(VALUE(LEFT(RIGHT(L1,7),2))=8,0.05,QTR)</f>
        <v>1.5127999999999999</v>
      </c>
      <c r="F156" s="595" t="s">
        <v>480</v>
      </c>
      <c r="G156" s="1018">
        <f>IF(VALUE(LEFT(RIGHT(L1,7),2))=8,0.05,QTR)</f>
        <v>1.5127999999999999</v>
      </c>
      <c r="H156" s="269"/>
      <c r="I156" s="269"/>
      <c r="J156" s="269"/>
      <c r="K156" s="269"/>
      <c r="L156" s="269"/>
      <c r="M156" s="960"/>
      <c r="N156" s="96"/>
      <c r="AA156" s="126"/>
    </row>
    <row r="157" spans="1:27" ht="15" customHeight="1">
      <c r="A157" s="1294" t="s">
        <v>1243</v>
      </c>
      <c r="B157" s="269"/>
      <c r="C157" s="269"/>
      <c r="D157" s="269"/>
      <c r="E157" s="994">
        <f>E155*E156</f>
        <v>0</v>
      </c>
      <c r="F157" s="1024"/>
      <c r="G157" s="994">
        <f>G155*G156</f>
        <v>0</v>
      </c>
      <c r="H157" s="1024"/>
      <c r="I157" s="1024"/>
      <c r="J157" s="1024"/>
      <c r="K157" s="1024"/>
      <c r="L157" s="994">
        <f>E157+G157</f>
        <v>0</v>
      </c>
      <c r="M157" s="960"/>
      <c r="N157" s="96"/>
      <c r="AA157" s="126"/>
    </row>
    <row r="158" spans="1:27" ht="15" customHeight="1" thickBot="1">
      <c r="A158" s="886"/>
      <c r="B158" s="886"/>
      <c r="C158" s="886"/>
      <c r="D158" s="886"/>
      <c r="E158" s="886"/>
      <c r="F158" s="886"/>
      <c r="G158" s="886"/>
      <c r="H158" s="886"/>
      <c r="I158" s="886"/>
      <c r="J158" s="886"/>
      <c r="K158" s="886"/>
      <c r="L158" s="886"/>
      <c r="M158" s="977"/>
      <c r="N158" s="96"/>
      <c r="AA158" s="126"/>
    </row>
    <row r="159" spans="1:27" ht="15" customHeight="1">
      <c r="A159" s="302"/>
      <c r="B159" s="269"/>
      <c r="C159" s="269"/>
      <c r="D159" s="269"/>
      <c r="E159" s="269"/>
      <c r="F159" s="269"/>
      <c r="G159" s="269"/>
      <c r="H159" s="269"/>
      <c r="I159" s="269"/>
      <c r="J159" s="269"/>
      <c r="K159" s="269"/>
      <c r="L159" s="269"/>
      <c r="M159" s="960"/>
      <c r="N159" s="96"/>
      <c r="AA159" s="126"/>
    </row>
    <row r="160" spans="1:27" ht="15" customHeight="1">
      <c r="A160" s="961" t="s">
        <v>677</v>
      </c>
      <c r="B160" s="269"/>
      <c r="C160" s="269"/>
      <c r="D160" s="269"/>
      <c r="E160" s="269"/>
      <c r="F160" s="269"/>
      <c r="G160" s="269"/>
      <c r="H160" s="269"/>
      <c r="I160" s="269"/>
      <c r="J160" s="269"/>
      <c r="K160" s="269"/>
      <c r="L160" s="269"/>
      <c r="M160" s="960"/>
      <c r="N160" s="96"/>
      <c r="AA160" s="126"/>
    </row>
    <row r="161" spans="1:27" ht="15" customHeight="1" thickBot="1">
      <c r="A161" s="269"/>
      <c r="B161" s="269"/>
      <c r="C161" s="269"/>
      <c r="D161" s="269"/>
      <c r="E161" s="1023" t="s">
        <v>661</v>
      </c>
      <c r="F161" s="269"/>
      <c r="G161" s="1023" t="s">
        <v>421</v>
      </c>
      <c r="H161" s="269"/>
      <c r="I161" s="269"/>
      <c r="J161" s="269"/>
      <c r="K161" s="269"/>
      <c r="L161" s="1023" t="s">
        <v>359</v>
      </c>
      <c r="M161" s="960"/>
      <c r="N161" s="96"/>
      <c r="AA161" s="126"/>
    </row>
    <row r="162" spans="1:27" ht="15" customHeight="1">
      <c r="A162" s="269" t="s">
        <v>678</v>
      </c>
      <c r="B162" s="269"/>
      <c r="C162" s="269"/>
      <c r="D162" s="269"/>
      <c r="E162" s="994">
        <f>L144</f>
        <v>1234399.44</v>
      </c>
      <c r="F162" s="269"/>
      <c r="G162" s="994">
        <f>L145</f>
        <v>891364.78</v>
      </c>
      <c r="H162" s="269"/>
      <c r="I162" s="269"/>
      <c r="J162" s="269"/>
      <c r="K162" s="269"/>
      <c r="L162" s="994">
        <f>E162+G162</f>
        <v>2125764.2200000002</v>
      </c>
      <c r="M162" s="960"/>
      <c r="N162" s="96"/>
      <c r="AA162" s="126"/>
    </row>
    <row r="163" spans="1:27" ht="15" customHeight="1">
      <c r="A163" s="269" t="s">
        <v>679</v>
      </c>
      <c r="B163" s="269"/>
      <c r="C163" s="269"/>
      <c r="D163" s="595" t="s">
        <v>481</v>
      </c>
      <c r="E163" s="994">
        <f>E136</f>
        <v>76589.73</v>
      </c>
      <c r="F163" s="595" t="s">
        <v>481</v>
      </c>
      <c r="G163" s="994">
        <f>G136</f>
        <v>61153.69</v>
      </c>
      <c r="H163" s="269"/>
      <c r="I163" s="269"/>
      <c r="J163" s="269"/>
      <c r="K163" s="595" t="s">
        <v>481</v>
      </c>
      <c r="L163" s="994">
        <f>E163+G163</f>
        <v>137743.42000000001</v>
      </c>
      <c r="M163" s="960"/>
      <c r="N163" s="96"/>
      <c r="AA163" s="126"/>
    </row>
    <row r="164" spans="1:27" ht="15" customHeight="1">
      <c r="A164" s="1294" t="s">
        <v>1244</v>
      </c>
      <c r="B164" s="269"/>
      <c r="C164" s="269"/>
      <c r="D164" s="595"/>
      <c r="E164" s="994">
        <f>SUM(E162:E163)</f>
        <v>1310989.17</v>
      </c>
      <c r="F164" s="269"/>
      <c r="G164" s="1013">
        <f>SUM(G162:G163)</f>
        <v>952518.47</v>
      </c>
      <c r="H164" s="269"/>
      <c r="I164" s="269"/>
      <c r="J164" s="269"/>
      <c r="K164" s="595"/>
      <c r="L164" s="1013">
        <f>EqualBasePSD8+EqualBase912</f>
        <v>2263507.64</v>
      </c>
      <c r="M164" s="960"/>
      <c r="N164" s="96"/>
      <c r="AA164" s="126"/>
    </row>
    <row r="165" spans="1:27" ht="15" customHeight="1" thickBot="1">
      <c r="A165" s="1294" t="s">
        <v>1245</v>
      </c>
      <c r="B165" s="269"/>
      <c r="C165" s="269"/>
      <c r="D165" s="595" t="s">
        <v>477</v>
      </c>
      <c r="E165" s="995">
        <f>MIN(IF(VALUE(LEFT(RIGHT(L1,7),2))=8,0,IF(E150&gt;0,(E149+E151+E152)*E156/100,E153*E156/100)),EqualBasePSD8)</f>
        <v>0</v>
      </c>
      <c r="F165" s="595" t="s">
        <v>477</v>
      </c>
      <c r="G165" s="995">
        <f>MIN(IF(G150&gt;0,(G150+G151+G152)*G156/100,G153*G156/100),EqualBase912)</f>
        <v>0</v>
      </c>
      <c r="H165" s="269"/>
      <c r="I165" s="269"/>
      <c r="J165" s="269"/>
      <c r="K165" s="595" t="s">
        <v>477</v>
      </c>
      <c r="L165" s="995">
        <f>QLPSD8+_QL912</f>
        <v>0</v>
      </c>
      <c r="M165" s="960"/>
      <c r="N165" s="96"/>
      <c r="AA165" s="126"/>
    </row>
    <row r="166" spans="1:27" ht="15" customHeight="1">
      <c r="A166" s="1294" t="s">
        <v>1246</v>
      </c>
      <c r="B166" s="269"/>
      <c r="C166" s="269"/>
      <c r="D166" s="269"/>
      <c r="E166" s="1013">
        <f>IF(E164-E165&lt;0,0,E164-E165)</f>
        <v>1310989.17</v>
      </c>
      <c r="F166" s="269"/>
      <c r="G166" s="1013">
        <f>IF(G164-G165&lt;0,0,G164-G165)</f>
        <v>952518.47</v>
      </c>
      <c r="H166" s="269"/>
      <c r="I166" s="269"/>
      <c r="J166" s="269"/>
      <c r="K166" s="269"/>
      <c r="L166" s="1013">
        <f>E166+G166</f>
        <v>2263507.64</v>
      </c>
      <c r="M166" s="960"/>
      <c r="AA166" s="126"/>
    </row>
    <row r="167" spans="1:27" ht="15" customHeight="1">
      <c r="AA167" s="126"/>
    </row>
    <row r="168" spans="1:27" ht="15" customHeight="1">
      <c r="AA168" s="126">
        <f>IF(VALUE(LEFT(RIGHT(L1,7),2))=8,Calculations!O77,IF(AND(UnweightedStudCnt912PY+HSCountDORtoDOA&gt;0,UnweightedStudCnt912PY+HSCountDORtoDOA&lt;100),Calculations!O52,IF(AND(Calculations!O56&gt;0),Calculations!O63,IF(AND(Calculations!O67&gt;0),Calculations!O74,IF(UnweightedStudCnt912PY+HSCountDORtoDOA&gt;=600,Calculations!O77,0)))))</f>
        <v>732.87</v>
      </c>
    </row>
    <row r="169" spans="1:27" ht="15" customHeight="1">
      <c r="AA169" s="126"/>
    </row>
    <row r="170" spans="1:27" ht="15" customHeight="1">
      <c r="AA170" s="126"/>
    </row>
    <row r="171" spans="1:27" ht="15" customHeight="1">
      <c r="AA171" s="126"/>
    </row>
    <row r="172" spans="1:27" ht="15" customHeight="1">
      <c r="AA172" s="126"/>
    </row>
    <row r="173" spans="1:27" ht="15" customHeight="1">
      <c r="AA173" s="126"/>
    </row>
    <row r="174" spans="1:27" ht="15" customHeight="1">
      <c r="AA174" s="126"/>
    </row>
    <row r="175" spans="1:27" ht="15" customHeight="1">
      <c r="AA175" s="126"/>
    </row>
    <row r="176" spans="1:27" ht="15" customHeight="1">
      <c r="AA176" s="126"/>
    </row>
    <row r="177" spans="27:27" ht="15" customHeight="1">
      <c r="AA177" s="126"/>
    </row>
    <row r="178" spans="27:27" ht="15" customHeight="1">
      <c r="AA178" s="126"/>
    </row>
    <row r="179" spans="27:27" ht="15" customHeight="1">
      <c r="AA179" s="126"/>
    </row>
    <row r="180" spans="27:27" ht="15" customHeight="1">
      <c r="AA180" s="126"/>
    </row>
    <row r="181" spans="27:27" ht="15" customHeight="1">
      <c r="AA181" s="126"/>
    </row>
    <row r="182" spans="27:27" ht="15" customHeight="1">
      <c r="AA182" s="126"/>
    </row>
    <row r="183" spans="27:27" ht="15" customHeight="1">
      <c r="AA183" s="126"/>
    </row>
    <row r="184" spans="27:27" ht="15" customHeight="1">
      <c r="AA184" s="126"/>
    </row>
    <row r="185" spans="27:27" ht="15" customHeight="1">
      <c r="AA185" s="126"/>
    </row>
    <row r="186" spans="27:27" ht="15" customHeight="1">
      <c r="AA186" s="126"/>
    </row>
    <row r="187" spans="27:27" ht="15" customHeight="1">
      <c r="AA187" s="126"/>
    </row>
    <row r="188" spans="27:27" ht="15" customHeight="1">
      <c r="AA188" s="126"/>
    </row>
    <row r="189" spans="27:27" ht="15" customHeight="1">
      <c r="AA189" s="126"/>
    </row>
    <row r="190" spans="27:27" ht="15" customHeight="1">
      <c r="AA190" s="126"/>
    </row>
    <row r="191" spans="27:27" ht="15" customHeight="1">
      <c r="AA191" s="126"/>
    </row>
    <row r="192" spans="27:27" ht="15" customHeight="1">
      <c r="AA192" s="126"/>
    </row>
    <row r="193" spans="27:27" ht="15" customHeight="1">
      <c r="AA193" s="126"/>
    </row>
    <row r="194" spans="27:27" ht="15" customHeight="1">
      <c r="AA194" s="126"/>
    </row>
    <row r="195" spans="27:27" ht="15" customHeight="1">
      <c r="AA195" s="126"/>
    </row>
    <row r="196" spans="27:27" ht="15" customHeight="1">
      <c r="AA196" s="126"/>
    </row>
    <row r="197" spans="27:27" ht="15" customHeight="1">
      <c r="AA197" s="126"/>
    </row>
    <row r="198" spans="27:27" ht="15" customHeight="1">
      <c r="AA198" s="126"/>
    </row>
    <row r="199" spans="27:27" ht="15" customHeight="1">
      <c r="AA199" s="126"/>
    </row>
    <row r="200" spans="27:27" ht="15" customHeight="1">
      <c r="AA200" s="126"/>
    </row>
    <row r="201" spans="27:27" ht="15" customHeight="1">
      <c r="AA201" s="126"/>
    </row>
    <row r="202" spans="27:27" ht="15" customHeight="1">
      <c r="AA202" s="126"/>
    </row>
    <row r="203" spans="27:27" ht="15" customHeight="1">
      <c r="AA203" s="126"/>
    </row>
    <row r="204" spans="27:27" ht="15" customHeight="1">
      <c r="AA204" s="126"/>
    </row>
    <row r="205" spans="27:27" ht="15" customHeight="1">
      <c r="AA205" s="126"/>
    </row>
    <row r="206" spans="27:27" ht="15" customHeight="1">
      <c r="AA206" s="126"/>
    </row>
    <row r="207" spans="27:27" ht="15" customHeight="1">
      <c r="AA207" s="126"/>
    </row>
    <row r="208" spans="27:27" ht="15" customHeight="1">
      <c r="AA208" s="126"/>
    </row>
    <row r="209" spans="27:27" ht="15" customHeight="1">
      <c r="AA209" s="126"/>
    </row>
    <row r="210" spans="27:27" ht="15" customHeight="1">
      <c r="AA210" s="126"/>
    </row>
    <row r="211" spans="27:27" ht="15" customHeight="1">
      <c r="AA211" s="126"/>
    </row>
    <row r="212" spans="27:27" ht="15" customHeight="1">
      <c r="AA212" s="126"/>
    </row>
    <row r="213" spans="27:27" ht="15" customHeight="1">
      <c r="AA213" s="126"/>
    </row>
    <row r="214" spans="27:27" ht="15" customHeight="1">
      <c r="AA214" s="126"/>
    </row>
    <row r="215" spans="27:27" ht="15" customHeight="1">
      <c r="AA215" s="126"/>
    </row>
    <row r="216" spans="27:27" ht="15" customHeight="1">
      <c r="AA216" s="126"/>
    </row>
    <row r="217" spans="27:27" ht="15" customHeight="1">
      <c r="AA217" s="126"/>
    </row>
    <row r="218" spans="27:27" ht="15" customHeight="1">
      <c r="AA218" s="126"/>
    </row>
    <row r="219" spans="27:27" ht="15" customHeight="1">
      <c r="AA219" s="126"/>
    </row>
    <row r="220" spans="27:27" ht="15" customHeight="1">
      <c r="AA220" s="126"/>
    </row>
    <row r="221" spans="27:27" ht="15" customHeight="1">
      <c r="AA221" s="126"/>
    </row>
    <row r="222" spans="27:27" ht="15" customHeight="1">
      <c r="AA222" s="126"/>
    </row>
    <row r="223" spans="27:27" ht="15" customHeight="1">
      <c r="AA223" s="126"/>
    </row>
    <row r="224" spans="27:27" ht="15" customHeight="1">
      <c r="AA224" s="126"/>
    </row>
    <row r="225" spans="27:27" ht="15" customHeight="1">
      <c r="AA225" s="126"/>
    </row>
    <row r="226" spans="27:27" ht="15" customHeight="1">
      <c r="AA226" s="126"/>
    </row>
    <row r="227" spans="27:27" ht="15" customHeight="1">
      <c r="AA227" s="126"/>
    </row>
    <row r="228" spans="27:27" ht="15" customHeight="1">
      <c r="AA228" s="126"/>
    </row>
    <row r="229" spans="27:27" ht="15" customHeight="1">
      <c r="AA229" s="126"/>
    </row>
    <row r="230" spans="27:27" ht="15" customHeight="1">
      <c r="AA230" s="126"/>
    </row>
    <row r="231" spans="27:27" ht="15" customHeight="1">
      <c r="AA231" s="126"/>
    </row>
    <row r="232" spans="27:27" ht="15" customHeight="1">
      <c r="AA232" s="126"/>
    </row>
    <row r="233" spans="27:27" ht="15" customHeight="1">
      <c r="AA233" s="126"/>
    </row>
    <row r="234" spans="27:27" ht="15" customHeight="1">
      <c r="AA234" s="126"/>
    </row>
    <row r="235" spans="27:27" ht="15" customHeight="1">
      <c r="AA235" s="126"/>
    </row>
    <row r="236" spans="27:27" ht="15" customHeight="1">
      <c r="AA236" s="126"/>
    </row>
    <row r="237" spans="27:27" ht="15" customHeight="1">
      <c r="AA237" s="126"/>
    </row>
    <row r="238" spans="27:27" ht="15" customHeight="1">
      <c r="AA238" s="126"/>
    </row>
    <row r="239" spans="27:27" ht="15" customHeight="1">
      <c r="AA239" s="126"/>
    </row>
    <row r="240" spans="27:27" ht="15" customHeight="1">
      <c r="AA240" s="126"/>
    </row>
    <row r="241" spans="27:27" ht="15" customHeight="1">
      <c r="AA241" s="126"/>
    </row>
    <row r="242" spans="27:27" ht="15" customHeight="1">
      <c r="AA242" s="126"/>
    </row>
    <row r="243" spans="27:27" ht="15" customHeight="1">
      <c r="AA243" s="126"/>
    </row>
    <row r="244" spans="27:27" ht="15" customHeight="1">
      <c r="AA244" s="126"/>
    </row>
    <row r="245" spans="27:27" ht="15" customHeight="1">
      <c r="AA245" s="126"/>
    </row>
    <row r="246" spans="27:27" ht="15" customHeight="1">
      <c r="AA246" s="126"/>
    </row>
    <row r="247" spans="27:27" ht="15" customHeight="1">
      <c r="AA247" s="126"/>
    </row>
    <row r="248" spans="27:27" ht="15" customHeight="1">
      <c r="AA248" s="126"/>
    </row>
    <row r="249" spans="27:27" ht="15" customHeight="1">
      <c r="AA249" s="126"/>
    </row>
    <row r="250" spans="27:27" ht="15" customHeight="1">
      <c r="AA250" s="126"/>
    </row>
    <row r="251" spans="27:27" ht="15" customHeight="1">
      <c r="AA251" s="126"/>
    </row>
    <row r="252" spans="27:27" ht="15" customHeight="1">
      <c r="AA252" s="126"/>
    </row>
    <row r="253" spans="27:27" ht="15" customHeight="1">
      <c r="AA253" s="126"/>
    </row>
    <row r="254" spans="27:27" ht="15" customHeight="1">
      <c r="AA254" s="126"/>
    </row>
    <row r="255" spans="27:27" ht="15" customHeight="1">
      <c r="AA255" s="126"/>
    </row>
    <row r="256" spans="27:27" ht="15" customHeight="1">
      <c r="AA256" s="126"/>
    </row>
    <row r="257" spans="27:27" ht="15" customHeight="1">
      <c r="AA257" s="126"/>
    </row>
    <row r="258" spans="27:27" ht="15" customHeight="1">
      <c r="AA258" s="126"/>
    </row>
    <row r="259" spans="27:27" ht="15" customHeight="1">
      <c r="AA259" s="126"/>
    </row>
    <row r="260" spans="27:27" ht="15" customHeight="1">
      <c r="AA260" s="126"/>
    </row>
    <row r="261" spans="27:27" ht="15" customHeight="1">
      <c r="AA261" s="126"/>
    </row>
    <row r="262" spans="27:27" ht="15" customHeight="1">
      <c r="AA262" s="126"/>
    </row>
    <row r="263" spans="27:27" ht="15" customHeight="1">
      <c r="AA263" s="126"/>
    </row>
    <row r="264" spans="27:27" ht="15" customHeight="1">
      <c r="AA264" s="126"/>
    </row>
    <row r="265" spans="27:27" ht="15" customHeight="1">
      <c r="AA265" s="126"/>
    </row>
    <row r="266" spans="27:27" ht="15" customHeight="1">
      <c r="AA266" s="126"/>
    </row>
    <row r="267" spans="27:27" ht="15" customHeight="1">
      <c r="AA267" s="126"/>
    </row>
    <row r="268" spans="27:27" ht="15" customHeight="1">
      <c r="AA268" s="126"/>
    </row>
    <row r="269" spans="27:27" ht="15" customHeight="1">
      <c r="AA269" s="126"/>
    </row>
    <row r="270" spans="27:27" ht="15" customHeight="1">
      <c r="AA270" s="126"/>
    </row>
    <row r="271" spans="27:27" ht="15" customHeight="1">
      <c r="AA271" s="126"/>
    </row>
    <row r="272" spans="27:27" ht="15" customHeight="1">
      <c r="AA272" s="126"/>
    </row>
    <row r="273" spans="27:27" ht="15" customHeight="1">
      <c r="AA273" s="126"/>
    </row>
    <row r="274" spans="27:27" ht="15" customHeight="1">
      <c r="AA274" s="126"/>
    </row>
    <row r="275" spans="27:27" ht="15" customHeight="1">
      <c r="AA275" s="126"/>
    </row>
    <row r="276" spans="27:27" ht="15" customHeight="1">
      <c r="AA276" s="126"/>
    </row>
    <row r="277" spans="27:27" ht="15" customHeight="1">
      <c r="AA277" s="126"/>
    </row>
    <row r="278" spans="27:27" ht="15" customHeight="1">
      <c r="AA278" s="126"/>
    </row>
    <row r="279" spans="27:27" ht="15" customHeight="1">
      <c r="AA279" s="126"/>
    </row>
    <row r="280" spans="27:27" ht="15" customHeight="1">
      <c r="AA280" s="126"/>
    </row>
    <row r="281" spans="27:27" ht="15" customHeight="1">
      <c r="AA281" s="126"/>
    </row>
    <row r="282" spans="27:27" ht="15" customHeight="1">
      <c r="AA282" s="126"/>
    </row>
    <row r="283" spans="27:27" ht="15" customHeight="1">
      <c r="AA283" s="126"/>
    </row>
    <row r="284" spans="27:27" ht="15" customHeight="1">
      <c r="AA284" s="126"/>
    </row>
    <row r="285" spans="27:27" ht="15" customHeight="1">
      <c r="AA285" s="126"/>
    </row>
    <row r="286" spans="27:27" ht="15" customHeight="1">
      <c r="AA286" s="126"/>
    </row>
    <row r="287" spans="27:27" ht="15" customHeight="1">
      <c r="AA287" s="126"/>
    </row>
    <row r="288" spans="27:27" ht="15" customHeight="1">
      <c r="AA288" s="126"/>
    </row>
    <row r="289" spans="27:27" ht="15" customHeight="1">
      <c r="AA289" s="126"/>
    </row>
    <row r="290" spans="27:27" ht="15" customHeight="1">
      <c r="AA290" s="126"/>
    </row>
    <row r="291" spans="27:27" ht="15" customHeight="1">
      <c r="AA291" s="126"/>
    </row>
    <row r="292" spans="27:27" ht="15" customHeight="1">
      <c r="AA292" s="126"/>
    </row>
    <row r="293" spans="27:27" ht="15" customHeight="1">
      <c r="AA293" s="126"/>
    </row>
    <row r="294" spans="27:27" ht="15" customHeight="1">
      <c r="AA294" s="126"/>
    </row>
    <row r="295" spans="27:27" ht="15" customHeight="1">
      <c r="AA295" s="126"/>
    </row>
    <row r="296" spans="27:27" ht="15" customHeight="1">
      <c r="AA296" s="126"/>
    </row>
    <row r="297" spans="27:27" ht="15" customHeight="1">
      <c r="AA297" s="126"/>
    </row>
    <row r="298" spans="27:27" ht="15" customHeight="1">
      <c r="AA298" s="126"/>
    </row>
    <row r="299" spans="27:27" ht="15" customHeight="1">
      <c r="AA299" s="126"/>
    </row>
    <row r="300" spans="27:27" ht="15" customHeight="1">
      <c r="AA300" s="126"/>
    </row>
    <row r="301" spans="27:27" ht="15" customHeight="1">
      <c r="AA301" s="126"/>
    </row>
    <row r="302" spans="27:27" ht="15" customHeight="1">
      <c r="AA302" s="126"/>
    </row>
    <row r="303" spans="27:27" ht="15" customHeight="1">
      <c r="AA303" s="126"/>
    </row>
    <row r="304" spans="27:27" ht="15" customHeight="1">
      <c r="AA304" s="126"/>
    </row>
    <row r="305" spans="27:27" ht="15" customHeight="1">
      <c r="AA305" s="126"/>
    </row>
    <row r="306" spans="27:27" ht="15" customHeight="1">
      <c r="AA306" s="126"/>
    </row>
    <row r="307" spans="27:27" ht="15" customHeight="1">
      <c r="AA307" s="126"/>
    </row>
    <row r="308" spans="27:27" ht="15" customHeight="1">
      <c r="AA308" s="126"/>
    </row>
    <row r="309" spans="27:27" ht="15" customHeight="1">
      <c r="AA309" s="126"/>
    </row>
    <row r="310" spans="27:27" ht="15" customHeight="1">
      <c r="AA310" s="126"/>
    </row>
    <row r="311" spans="27:27" ht="15" customHeight="1">
      <c r="AA311" s="126"/>
    </row>
    <row r="312" spans="27:27" ht="15" customHeight="1">
      <c r="AA312" s="126"/>
    </row>
    <row r="313" spans="27:27" ht="15" customHeight="1">
      <c r="AA313" s="126"/>
    </row>
    <row r="314" spans="27:27" ht="15" customHeight="1">
      <c r="AA314" s="126"/>
    </row>
    <row r="315" spans="27:27" ht="15" customHeight="1">
      <c r="AA315" s="126"/>
    </row>
    <row r="316" spans="27:27" ht="15" customHeight="1">
      <c r="AA316" s="126"/>
    </row>
    <row r="317" spans="27:27" ht="15" customHeight="1">
      <c r="AA317" s="126"/>
    </row>
    <row r="318" spans="27:27" ht="15" customHeight="1">
      <c r="AA318" s="126"/>
    </row>
    <row r="319" spans="27:27" ht="15" customHeight="1">
      <c r="AA319" s="126"/>
    </row>
    <row r="320" spans="27:27" ht="15" customHeight="1">
      <c r="AA320" s="126"/>
    </row>
    <row r="321" spans="27:27" ht="15" customHeight="1">
      <c r="AA321" s="126"/>
    </row>
    <row r="322" spans="27:27" ht="15" customHeight="1">
      <c r="AA322" s="126"/>
    </row>
    <row r="323" spans="27:27" ht="15" customHeight="1">
      <c r="AA323" s="126"/>
    </row>
    <row r="324" spans="27:27" ht="15" customHeight="1">
      <c r="AA324" s="126"/>
    </row>
    <row r="325" spans="27:27" ht="15" customHeight="1">
      <c r="AA325" s="126"/>
    </row>
    <row r="326" spans="27:27" ht="15" customHeight="1">
      <c r="AA326" s="126"/>
    </row>
    <row r="327" spans="27:27" ht="15" customHeight="1">
      <c r="AA327" s="126"/>
    </row>
    <row r="328" spans="27:27" ht="15" customHeight="1">
      <c r="AA328" s="126"/>
    </row>
    <row r="329" spans="27:27" ht="15" customHeight="1">
      <c r="AA329" s="126"/>
    </row>
    <row r="330" spans="27:27" ht="15" customHeight="1">
      <c r="AA330" s="126"/>
    </row>
    <row r="331" spans="27:27" ht="15" customHeight="1">
      <c r="AA331" s="126"/>
    </row>
    <row r="332" spans="27:27" ht="15" customHeight="1">
      <c r="AA332" s="126"/>
    </row>
    <row r="333" spans="27:27" ht="15" customHeight="1">
      <c r="AA333" s="126"/>
    </row>
    <row r="334" spans="27:27" ht="15" customHeight="1">
      <c r="AA334" s="126"/>
    </row>
    <row r="335" spans="27:27" ht="15" customHeight="1">
      <c r="AA335" s="126"/>
    </row>
    <row r="336" spans="27:27" ht="15" customHeight="1">
      <c r="AA336" s="126"/>
    </row>
    <row r="337" spans="27:27" ht="15" customHeight="1">
      <c r="AA337" s="126"/>
    </row>
    <row r="338" spans="27:27" ht="15" customHeight="1">
      <c r="AA338" s="126"/>
    </row>
    <row r="339" spans="27:27" ht="15" customHeight="1">
      <c r="AA339" s="126"/>
    </row>
    <row r="340" spans="27:27" ht="15" customHeight="1">
      <c r="AA340" s="126"/>
    </row>
    <row r="341" spans="27:27" ht="15" customHeight="1">
      <c r="AA341" s="126"/>
    </row>
    <row r="342" spans="27:27" ht="15" customHeight="1">
      <c r="AA342" s="126"/>
    </row>
    <row r="343" spans="27:27" ht="15" customHeight="1">
      <c r="AA343" s="126"/>
    </row>
    <row r="344" spans="27:27" ht="15" customHeight="1">
      <c r="AA344" s="126"/>
    </row>
    <row r="345" spans="27:27" ht="15" customHeight="1">
      <c r="AA345" s="126"/>
    </row>
    <row r="346" spans="27:27" ht="15" customHeight="1">
      <c r="AA346" s="126"/>
    </row>
  </sheetData>
  <sheetProtection sheet="1" formatCells="0" formatColumns="0" formatRows="0"/>
  <mergeCells count="24">
    <mergeCell ref="J44:L44"/>
    <mergeCell ref="D40:H40"/>
    <mergeCell ref="D39:H39"/>
    <mergeCell ref="K38:L38"/>
    <mergeCell ref="G1:I1"/>
    <mergeCell ref="L1:M1"/>
    <mergeCell ref="L2:M2"/>
    <mergeCell ref="B1:E1"/>
    <mergeCell ref="D3:H3"/>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customProperties>
    <customPr name="OrphanNamesCheck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184"/>
  <sheetViews>
    <sheetView showGridLines="0" topLeftCell="A106" zoomScaleNormal="100" workbookViewId="0">
      <selection activeCell="D110" sqref="D110"/>
    </sheetView>
  </sheetViews>
  <sheetFormatPr defaultColWidth="8.81640625" defaultRowHeight="18.75" customHeight="1"/>
  <cols>
    <col min="1" max="1" width="15.81640625" style="1060" customWidth="1"/>
    <col min="2" max="2" width="15" style="1051" customWidth="1"/>
    <col min="3" max="3" width="79" style="1060" customWidth="1"/>
    <col min="4" max="4" width="25.81640625" style="1061" customWidth="1"/>
    <col min="5" max="5" width="32.81640625" style="1038" customWidth="1"/>
    <col min="6" max="6" width="40.81640625" style="1038" customWidth="1"/>
    <col min="7" max="11" width="8.81640625" style="1038" customWidth="1"/>
    <col min="12" max="12" width="10" style="1038" customWidth="1"/>
    <col min="13" max="15" width="8.81640625" style="1038" customWidth="1"/>
    <col min="16" max="16384" width="8.81640625" style="1038"/>
  </cols>
  <sheetData>
    <row r="1" spans="1:11" ht="40.5" customHeight="1">
      <c r="A1" s="1036" t="s">
        <v>680</v>
      </c>
      <c r="B1" s="1036" t="s">
        <v>681</v>
      </c>
      <c r="C1" s="1036" t="s">
        <v>682</v>
      </c>
      <c r="D1" s="1036" t="s">
        <v>1163</v>
      </c>
      <c r="E1" s="1037" t="s">
        <v>1164</v>
      </c>
    </row>
    <row r="2" spans="1:11" ht="259.5" customHeight="1">
      <c r="A2" s="1317"/>
      <c r="B2" s="1319" t="s">
        <v>396</v>
      </c>
      <c r="C2" s="1039" t="s">
        <v>929</v>
      </c>
      <c r="D2" s="1321"/>
      <c r="E2" s="1040"/>
    </row>
    <row r="3" spans="1:11" ht="24" customHeight="1">
      <c r="A3" s="1318"/>
      <c r="B3" s="1320"/>
      <c r="C3" s="1041" t="s">
        <v>683</v>
      </c>
      <c r="D3" s="1322"/>
      <c r="E3" s="1318"/>
    </row>
    <row r="4" spans="1:11" ht="138" customHeight="1">
      <c r="A4" s="1042"/>
      <c r="B4" s="1043" t="s">
        <v>396</v>
      </c>
      <c r="C4" s="1039" t="s">
        <v>1165</v>
      </c>
      <c r="D4" s="1044"/>
      <c r="E4" s="1042"/>
      <c r="F4" s="443"/>
      <c r="K4" s="1449"/>
    </row>
    <row r="5" spans="1:11" ht="44.25" customHeight="1">
      <c r="A5" s="1042"/>
      <c r="B5" s="1043" t="s">
        <v>396</v>
      </c>
      <c r="C5" s="1039" t="s">
        <v>684</v>
      </c>
      <c r="D5" s="1044"/>
      <c r="E5" s="1042" t="s">
        <v>685</v>
      </c>
    </row>
    <row r="6" spans="1:11" ht="292.5" customHeight="1">
      <c r="A6" s="1042"/>
      <c r="B6" s="1043" t="s">
        <v>686</v>
      </c>
      <c r="C6" s="1039" t="s">
        <v>687</v>
      </c>
      <c r="D6" s="1354" t="s">
        <v>412</v>
      </c>
      <c r="E6" s="1042"/>
    </row>
    <row r="7" spans="1:11" ht="45.75" customHeight="1">
      <c r="A7" s="1042"/>
      <c r="B7" s="1043" t="s">
        <v>688</v>
      </c>
      <c r="C7" s="1039" t="s">
        <v>1166</v>
      </c>
      <c r="D7" s="1354" t="s">
        <v>412</v>
      </c>
      <c r="E7" s="1042"/>
    </row>
    <row r="8" spans="1:11" ht="154.5" customHeight="1">
      <c r="A8" s="1485" t="s">
        <v>689</v>
      </c>
      <c r="B8" s="1043" t="s">
        <v>896</v>
      </c>
      <c r="C8" s="1039" t="s">
        <v>923</v>
      </c>
      <c r="D8" s="1044"/>
      <c r="E8" s="1042"/>
    </row>
    <row r="9" spans="1:11" ht="136.5" customHeight="1">
      <c r="A9" s="1485" t="s">
        <v>689</v>
      </c>
      <c r="B9" s="1043" t="s">
        <v>690</v>
      </c>
      <c r="C9" s="1039" t="s">
        <v>1167</v>
      </c>
      <c r="D9" s="1044"/>
      <c r="E9" s="1042"/>
      <c r="K9" s="1449"/>
    </row>
    <row r="10" spans="1:11" ht="228.75" customHeight="1">
      <c r="A10" s="1485" t="s">
        <v>689</v>
      </c>
      <c r="B10" s="1043" t="s">
        <v>691</v>
      </c>
      <c r="C10" s="1039" t="s">
        <v>692</v>
      </c>
      <c r="D10" s="1354" t="s">
        <v>412</v>
      </c>
      <c r="E10" s="1042"/>
    </row>
    <row r="11" spans="1:11" ht="76.5" customHeight="1">
      <c r="A11" s="1920">
        <v>1</v>
      </c>
      <c r="B11" s="1918" t="s">
        <v>693</v>
      </c>
      <c r="C11" s="1206" t="s">
        <v>1168</v>
      </c>
      <c r="D11" s="1926"/>
      <c r="E11" s="1922"/>
    </row>
    <row r="12" spans="1:11" ht="19.5" customHeight="1">
      <c r="A12" s="1921"/>
      <c r="B12" s="1919"/>
      <c r="C12" s="1045" t="s">
        <v>694</v>
      </c>
      <c r="D12" s="1927"/>
      <c r="E12" s="1923"/>
    </row>
    <row r="13" spans="1:11" ht="133.5" customHeight="1">
      <c r="A13" s="1483">
        <v>1</v>
      </c>
      <c r="B13" s="1043" t="s">
        <v>695</v>
      </c>
      <c r="C13" s="1039" t="s">
        <v>696</v>
      </c>
      <c r="D13" s="1354" t="s">
        <v>412</v>
      </c>
      <c r="E13" s="1042"/>
    </row>
    <row r="14" spans="1:11" ht="64.5" customHeight="1">
      <c r="A14" s="1483">
        <v>1</v>
      </c>
      <c r="B14" s="1043" t="s">
        <v>697</v>
      </c>
      <c r="C14" s="1039" t="s">
        <v>1169</v>
      </c>
      <c r="D14" s="1044"/>
      <c r="E14" s="1042"/>
    </row>
    <row r="15" spans="1:11" ht="151.5" customHeight="1">
      <c r="A15" s="1483">
        <v>1</v>
      </c>
      <c r="B15" s="1043" t="s">
        <v>698</v>
      </c>
      <c r="C15" s="1039" t="s">
        <v>699</v>
      </c>
      <c r="D15" s="1044"/>
      <c r="E15" s="1042"/>
    </row>
    <row r="16" spans="1:11" ht="135" customHeight="1">
      <c r="A16" s="1920">
        <v>1</v>
      </c>
      <c r="B16" s="1918" t="s">
        <v>700</v>
      </c>
      <c r="C16" s="1046" t="s">
        <v>701</v>
      </c>
      <c r="D16" s="1926"/>
      <c r="E16" s="1924"/>
    </row>
    <row r="17" spans="1:13" ht="21" customHeight="1">
      <c r="A17" s="1921"/>
      <c r="B17" s="1919"/>
      <c r="C17" s="1045" t="s">
        <v>702</v>
      </c>
      <c r="D17" s="1927"/>
      <c r="E17" s="1925"/>
    </row>
    <row r="18" spans="1:13" ht="79.5" customHeight="1">
      <c r="A18" s="1483">
        <v>1</v>
      </c>
      <c r="B18" s="1918" t="s">
        <v>941</v>
      </c>
      <c r="C18" s="1053" t="s">
        <v>1170</v>
      </c>
      <c r="D18" s="1044"/>
      <c r="E18" s="1042"/>
    </row>
    <row r="19" spans="1:13" ht="97.5" customHeight="1">
      <c r="A19" s="1483" t="s">
        <v>899</v>
      </c>
      <c r="B19" s="1919" t="s">
        <v>947</v>
      </c>
      <c r="C19" s="1053" t="s">
        <v>1171</v>
      </c>
      <c r="D19" s="1044"/>
      <c r="E19" s="1042"/>
    </row>
    <row r="20" spans="1:13" ht="94.5" customHeight="1">
      <c r="A20" s="1483">
        <v>1</v>
      </c>
      <c r="B20" s="1320" t="s">
        <v>919</v>
      </c>
      <c r="C20" s="1053" t="s">
        <v>943</v>
      </c>
      <c r="D20" s="1322"/>
      <c r="E20" s="1452"/>
    </row>
    <row r="21" spans="1:13" ht="150.75" customHeight="1">
      <c r="A21" s="1483">
        <v>2</v>
      </c>
      <c r="B21" s="1043" t="s">
        <v>703</v>
      </c>
      <c r="C21" s="1039" t="s">
        <v>704</v>
      </c>
      <c r="D21" s="1044"/>
      <c r="E21" s="1047"/>
    </row>
    <row r="22" spans="1:13" ht="63" customHeight="1">
      <c r="A22" s="1483">
        <v>2</v>
      </c>
      <c r="B22" s="1043" t="s">
        <v>705</v>
      </c>
      <c r="C22" s="1048" t="s">
        <v>706</v>
      </c>
      <c r="D22" s="1044"/>
      <c r="E22" s="1042"/>
    </row>
    <row r="23" spans="1:13" ht="62.25" customHeight="1">
      <c r="A23" s="1483">
        <v>2</v>
      </c>
      <c r="B23" s="1043" t="s">
        <v>707</v>
      </c>
      <c r="C23" s="1039" t="s">
        <v>708</v>
      </c>
      <c r="D23" s="1044"/>
      <c r="E23" s="1042"/>
    </row>
    <row r="24" spans="1:13" ht="221.25" customHeight="1">
      <c r="A24" s="1483">
        <v>2</v>
      </c>
      <c r="B24" s="1043" t="s">
        <v>709</v>
      </c>
      <c r="C24" s="1039" t="s">
        <v>1412</v>
      </c>
      <c r="D24" s="1354" t="s">
        <v>412</v>
      </c>
      <c r="E24" s="1042"/>
      <c r="F24" s="443"/>
      <c r="K24" s="1449"/>
      <c r="L24" s="1449"/>
    </row>
    <row r="25" spans="1:13" ht="118.5" customHeight="1">
      <c r="A25" s="1483">
        <v>3</v>
      </c>
      <c r="B25" s="1043" t="s">
        <v>396</v>
      </c>
      <c r="C25" s="1039" t="s">
        <v>710</v>
      </c>
      <c r="D25" s="1044"/>
      <c r="E25" s="1047"/>
    </row>
    <row r="26" spans="1:13" ht="45" customHeight="1">
      <c r="A26" s="1483">
        <v>3</v>
      </c>
      <c r="B26" s="1043" t="s">
        <v>693</v>
      </c>
      <c r="C26" s="1049" t="s">
        <v>711</v>
      </c>
      <c r="D26" s="1044"/>
      <c r="E26" s="1047"/>
    </row>
    <row r="27" spans="1:13" ht="82.5" customHeight="1">
      <c r="A27" s="1483">
        <v>3</v>
      </c>
      <c r="B27" s="1320" t="s">
        <v>695</v>
      </c>
      <c r="C27" s="1053" t="s">
        <v>1172</v>
      </c>
      <c r="D27" s="1044"/>
      <c r="E27" s="1047"/>
    </row>
    <row r="28" spans="1:13" ht="80.25" customHeight="1">
      <c r="A28" s="1483">
        <v>3</v>
      </c>
      <c r="B28" s="1320" t="s">
        <v>927</v>
      </c>
      <c r="C28" s="1352" t="s">
        <v>930</v>
      </c>
      <c r="D28" s="1322"/>
      <c r="E28" s="1452"/>
    </row>
    <row r="29" spans="1:13" ht="61.5" customHeight="1">
      <c r="A29" s="1483">
        <v>3</v>
      </c>
      <c r="B29" s="1043" t="s">
        <v>910</v>
      </c>
      <c r="C29" s="1039" t="s">
        <v>909</v>
      </c>
      <c r="D29" s="1354" t="s">
        <v>412</v>
      </c>
      <c r="E29" s="1047"/>
    </row>
    <row r="30" spans="1:13" ht="65.25" customHeight="1">
      <c r="A30" s="1483">
        <v>3</v>
      </c>
      <c r="B30" s="1043" t="s">
        <v>713</v>
      </c>
      <c r="C30" s="1039" t="s">
        <v>903</v>
      </c>
      <c r="D30" s="1354" t="s">
        <v>412</v>
      </c>
      <c r="E30" s="1042"/>
    </row>
    <row r="31" spans="1:13" ht="204" customHeight="1">
      <c r="A31" s="1483">
        <v>3</v>
      </c>
      <c r="B31" s="1043" t="s">
        <v>881</v>
      </c>
      <c r="C31" s="1042" t="s">
        <v>931</v>
      </c>
      <c r="D31" s="1330"/>
      <c r="E31" s="1042"/>
      <c r="M31" s="1449"/>
    </row>
    <row r="32" spans="1:13" ht="19.5" customHeight="1">
      <c r="A32" s="1042"/>
      <c r="B32" s="1043"/>
      <c r="C32" s="1045" t="s">
        <v>712</v>
      </c>
      <c r="D32" s="1044"/>
      <c r="E32" s="1042"/>
    </row>
    <row r="33" spans="1:13" ht="66.45" customHeight="1">
      <c r="A33" s="1483">
        <v>3</v>
      </c>
      <c r="B33" s="1043" t="s">
        <v>911</v>
      </c>
      <c r="C33" s="1039" t="s">
        <v>1173</v>
      </c>
      <c r="D33" s="1044"/>
      <c r="E33" s="1042"/>
    </row>
    <row r="34" spans="1:13" ht="79.5" customHeight="1">
      <c r="A34" s="1501">
        <v>4</v>
      </c>
      <c r="B34" s="1320" t="s">
        <v>920</v>
      </c>
      <c r="C34" s="1053" t="s">
        <v>1356</v>
      </c>
      <c r="D34" s="1044"/>
      <c r="E34" s="1047"/>
    </row>
    <row r="35" spans="1:13" ht="102.75" customHeight="1">
      <c r="A35" s="1501">
        <v>4</v>
      </c>
      <c r="B35" s="1320" t="s">
        <v>921</v>
      </c>
      <c r="C35" s="1053" t="s">
        <v>1174</v>
      </c>
      <c r="D35" s="1322"/>
      <c r="E35" s="1452"/>
    </row>
    <row r="36" spans="1:13" ht="208.5" customHeight="1">
      <c r="A36" s="1501">
        <v>4</v>
      </c>
      <c r="B36" s="1043" t="s">
        <v>715</v>
      </c>
      <c r="C36" s="1039" t="s">
        <v>1175</v>
      </c>
      <c r="D36" s="1354" t="s">
        <v>412</v>
      </c>
      <c r="E36" s="1042"/>
      <c r="K36" s="1449"/>
      <c r="L36" s="1449"/>
      <c r="M36" s="1449"/>
    </row>
    <row r="37" spans="1:13" ht="242.25" customHeight="1">
      <c r="A37" s="1483">
        <v>5</v>
      </c>
      <c r="B37" s="1043" t="s">
        <v>716</v>
      </c>
      <c r="C37" s="1039" t="s">
        <v>717</v>
      </c>
      <c r="D37" s="1044"/>
      <c r="E37" s="1039"/>
    </row>
    <row r="38" spans="1:13" ht="151.5" customHeight="1">
      <c r="A38" s="1483">
        <v>5</v>
      </c>
      <c r="B38" s="1043" t="s">
        <v>718</v>
      </c>
      <c r="C38" s="1039" t="s">
        <v>719</v>
      </c>
      <c r="D38" s="1044"/>
      <c r="E38" s="1042"/>
    </row>
    <row r="39" spans="1:13" ht="98.25" customHeight="1">
      <c r="A39" s="1483">
        <v>6</v>
      </c>
      <c r="B39" s="1043" t="s">
        <v>720</v>
      </c>
      <c r="C39" s="1039" t="s">
        <v>721</v>
      </c>
      <c r="D39" s="1044"/>
      <c r="E39" s="1042"/>
    </row>
    <row r="40" spans="1:13" ht="59.25" customHeight="1">
      <c r="A40" s="1483">
        <v>6</v>
      </c>
      <c r="B40" s="1043" t="s">
        <v>722</v>
      </c>
      <c r="C40" s="1039" t="s">
        <v>901</v>
      </c>
      <c r="D40" s="1044"/>
      <c r="E40" s="1042"/>
      <c r="G40" s="1450"/>
    </row>
    <row r="41" spans="1:13" ht="206.25" customHeight="1">
      <c r="A41" s="1483">
        <v>6</v>
      </c>
      <c r="B41" s="1043" t="s">
        <v>932</v>
      </c>
      <c r="C41" s="1039" t="s">
        <v>723</v>
      </c>
      <c r="D41" s="1044"/>
      <c r="E41" s="1042"/>
    </row>
    <row r="42" spans="1:13" ht="63" customHeight="1">
      <c r="A42" s="1483">
        <v>6</v>
      </c>
      <c r="B42" s="1043" t="s">
        <v>916</v>
      </c>
      <c r="C42" s="1039" t="s">
        <v>933</v>
      </c>
      <c r="D42" s="1044"/>
      <c r="E42" s="1252"/>
    </row>
    <row r="43" spans="1:13" ht="43.5" customHeight="1">
      <c r="A43" s="1483">
        <v>6</v>
      </c>
      <c r="B43" s="1043" t="s">
        <v>724</v>
      </c>
      <c r="C43" s="1039" t="s">
        <v>725</v>
      </c>
      <c r="D43" s="1044"/>
      <c r="E43" s="1042"/>
    </row>
    <row r="44" spans="1:13" ht="115.5" customHeight="1">
      <c r="A44" s="1483">
        <v>6</v>
      </c>
      <c r="B44" s="1043" t="s">
        <v>726</v>
      </c>
      <c r="C44" s="1039" t="s">
        <v>727</v>
      </c>
      <c r="D44" s="1044"/>
      <c r="E44" s="1042"/>
    </row>
    <row r="45" spans="1:13" ht="301.5" customHeight="1">
      <c r="A45" s="1483">
        <v>6</v>
      </c>
      <c r="B45" s="1043" t="s">
        <v>728</v>
      </c>
      <c r="C45" s="1039" t="s">
        <v>729</v>
      </c>
      <c r="D45" s="1044"/>
      <c r="E45" s="1042"/>
    </row>
    <row r="46" spans="1:13" ht="97.5" customHeight="1">
      <c r="A46" s="1483">
        <v>6</v>
      </c>
      <c r="B46" s="1043" t="s">
        <v>730</v>
      </c>
      <c r="C46" s="1039" t="s">
        <v>731</v>
      </c>
      <c r="D46" s="1044"/>
      <c r="E46" s="1042"/>
    </row>
    <row r="47" spans="1:13" ht="61.5" customHeight="1">
      <c r="A47" s="1483">
        <v>6</v>
      </c>
      <c r="B47" s="1043" t="s">
        <v>732</v>
      </c>
      <c r="C47" s="1039" t="s">
        <v>733</v>
      </c>
      <c r="D47" s="1044"/>
      <c r="E47" s="1042"/>
    </row>
    <row r="48" spans="1:13" ht="69.45" customHeight="1">
      <c r="A48" s="1483">
        <v>6</v>
      </c>
      <c r="B48" s="1255" t="s">
        <v>734</v>
      </c>
      <c r="C48" s="1039" t="s">
        <v>1357</v>
      </c>
      <c r="D48" s="1044"/>
      <c r="E48" s="1042"/>
    </row>
    <row r="49" spans="1:13" ht="63" customHeight="1">
      <c r="A49" s="1483">
        <v>6</v>
      </c>
      <c r="B49" s="1043" t="s">
        <v>735</v>
      </c>
      <c r="C49" s="1039" t="s">
        <v>736</v>
      </c>
      <c r="D49" s="1044"/>
      <c r="E49" s="1042"/>
    </row>
    <row r="50" spans="1:13" ht="234">
      <c r="A50" s="1483">
        <v>7</v>
      </c>
      <c r="B50" s="1043" t="s">
        <v>396</v>
      </c>
      <c r="C50" s="1039" t="s">
        <v>737</v>
      </c>
      <c r="D50" s="1354" t="s">
        <v>412</v>
      </c>
      <c r="E50" s="1484"/>
    </row>
    <row r="51" spans="1:13" ht="117" customHeight="1">
      <c r="A51" s="1483">
        <v>7</v>
      </c>
      <c r="B51" s="1043" t="s">
        <v>738</v>
      </c>
      <c r="C51" s="1039" t="s">
        <v>904</v>
      </c>
      <c r="D51" s="1354" t="s">
        <v>412</v>
      </c>
      <c r="E51" s="1042"/>
    </row>
    <row r="52" spans="1:13" ht="101.25" customHeight="1">
      <c r="A52" s="1483">
        <v>7</v>
      </c>
      <c r="B52" s="1043" t="s">
        <v>739</v>
      </c>
      <c r="C52" s="1039" t="s">
        <v>1176</v>
      </c>
      <c r="D52" s="1354" t="s">
        <v>412</v>
      </c>
      <c r="E52" s="1042"/>
    </row>
    <row r="53" spans="1:13" ht="43.5" customHeight="1">
      <c r="A53" s="1483">
        <v>7</v>
      </c>
      <c r="B53" s="1043" t="s">
        <v>740</v>
      </c>
      <c r="C53" s="1039" t="s">
        <v>741</v>
      </c>
      <c r="D53" s="1044"/>
      <c r="E53" s="1047"/>
      <c r="F53" s="1451"/>
    </row>
    <row r="54" spans="1:13" ht="171" customHeight="1">
      <c r="A54" s="1483">
        <v>7</v>
      </c>
      <c r="B54" s="1043" t="s">
        <v>742</v>
      </c>
      <c r="C54" s="1207" t="s">
        <v>1177</v>
      </c>
      <c r="D54" s="1044"/>
      <c r="E54" s="1042"/>
      <c r="K54" s="1449"/>
      <c r="L54" s="1449"/>
    </row>
    <row r="55" spans="1:13" ht="18">
      <c r="A55" s="1042"/>
      <c r="B55" s="1043"/>
      <c r="C55" s="1050" t="s">
        <v>1409</v>
      </c>
      <c r="D55" s="1044"/>
      <c r="E55" s="1042"/>
    </row>
    <row r="56" spans="1:13" ht="169.5" customHeight="1">
      <c r="A56" s="1483">
        <v>7</v>
      </c>
      <c r="B56" s="1043" t="s">
        <v>743</v>
      </c>
      <c r="C56" s="1039" t="s">
        <v>1178</v>
      </c>
      <c r="D56" s="1044"/>
      <c r="E56" s="1042"/>
      <c r="K56" s="1449"/>
      <c r="L56" s="1449"/>
    </row>
    <row r="57" spans="1:13" ht="79.5" customHeight="1">
      <c r="A57" s="1483">
        <v>7</v>
      </c>
      <c r="B57" s="1043" t="s">
        <v>744</v>
      </c>
      <c r="C57" s="1039" t="s">
        <v>745</v>
      </c>
      <c r="D57" s="1044"/>
      <c r="E57" s="1042"/>
    </row>
    <row r="58" spans="1:13" ht="210" customHeight="1">
      <c r="A58" s="1483">
        <v>7</v>
      </c>
      <c r="B58" s="1043" t="s">
        <v>746</v>
      </c>
      <c r="C58" s="1039" t="s">
        <v>1179</v>
      </c>
      <c r="D58" s="1044"/>
      <c r="E58" s="1042"/>
      <c r="K58" s="1449"/>
      <c r="L58" s="1449"/>
      <c r="M58" s="1449"/>
    </row>
    <row r="59" spans="1:13" ht="208.5" customHeight="1">
      <c r="A59" s="1483">
        <v>7</v>
      </c>
      <c r="B59" s="1043" t="s">
        <v>747</v>
      </c>
      <c r="C59" s="1039" t="s">
        <v>934</v>
      </c>
      <c r="D59" s="1044"/>
      <c r="E59" s="1042"/>
      <c r="K59" s="1449"/>
      <c r="L59" s="1449"/>
      <c r="M59" s="1449"/>
    </row>
    <row r="60" spans="1:13" ht="151.5" customHeight="1">
      <c r="A60" s="1483">
        <v>7</v>
      </c>
      <c r="B60" s="1043" t="s">
        <v>748</v>
      </c>
      <c r="C60" s="1039" t="s">
        <v>749</v>
      </c>
      <c r="D60" s="1354" t="s">
        <v>412</v>
      </c>
      <c r="E60" s="1042"/>
    </row>
    <row r="61" spans="1:13" ht="264" customHeight="1">
      <c r="A61" s="1483">
        <v>7</v>
      </c>
      <c r="B61" s="1043" t="s">
        <v>693</v>
      </c>
      <c r="C61" s="1039" t="s">
        <v>1413</v>
      </c>
      <c r="D61" s="1354" t="s">
        <v>412</v>
      </c>
      <c r="E61" s="1042"/>
      <c r="K61" s="1449"/>
      <c r="L61" s="1449"/>
      <c r="M61" s="1449"/>
    </row>
    <row r="62" spans="1:13" ht="28.5" customHeight="1">
      <c r="A62" s="1043"/>
      <c r="B62" s="1043"/>
      <c r="C62" s="1041" t="s">
        <v>750</v>
      </c>
      <c r="D62" s="1327"/>
      <c r="E62" s="1042"/>
    </row>
    <row r="63" spans="1:13" ht="154.5" customHeight="1">
      <c r="A63" s="1483">
        <v>7</v>
      </c>
      <c r="B63" s="1043" t="s">
        <v>751</v>
      </c>
      <c r="C63" s="1039" t="s">
        <v>752</v>
      </c>
      <c r="D63" s="1354" t="s">
        <v>412</v>
      </c>
      <c r="E63" s="1042"/>
    </row>
    <row r="64" spans="1:13" ht="39" customHeight="1">
      <c r="A64" s="1483">
        <v>7</v>
      </c>
      <c r="B64" s="1043" t="s">
        <v>753</v>
      </c>
      <c r="C64" s="1039" t="s">
        <v>1410</v>
      </c>
      <c r="D64" s="1044"/>
      <c r="E64" s="1042"/>
    </row>
    <row r="65" spans="1:14" ht="18">
      <c r="A65" s="1043"/>
      <c r="B65" s="1043"/>
      <c r="C65" s="1050" t="s">
        <v>694</v>
      </c>
      <c r="D65" s="1044"/>
      <c r="E65" s="1042"/>
    </row>
    <row r="66" spans="1:14" ht="166.2" customHeight="1">
      <c r="A66" s="1483">
        <v>7</v>
      </c>
      <c r="B66" s="1043" t="s">
        <v>754</v>
      </c>
      <c r="C66" s="1039" t="s">
        <v>1411</v>
      </c>
      <c r="D66" s="1354" t="s">
        <v>412</v>
      </c>
      <c r="E66" s="1042"/>
      <c r="K66" s="1449"/>
      <c r="L66" s="1449"/>
    </row>
    <row r="67" spans="1:14" ht="18">
      <c r="A67" s="1043"/>
      <c r="B67" s="1043"/>
      <c r="C67" s="1050" t="s">
        <v>694</v>
      </c>
      <c r="D67" s="1044"/>
      <c r="E67" s="1042"/>
    </row>
    <row r="68" spans="1:14" ht="387.75" customHeight="1">
      <c r="A68" s="1483">
        <v>7</v>
      </c>
      <c r="B68" s="1043" t="s">
        <v>755</v>
      </c>
      <c r="C68" s="1039" t="s">
        <v>1358</v>
      </c>
      <c r="D68" s="1354" t="s">
        <v>412</v>
      </c>
      <c r="E68" s="1042"/>
      <c r="K68" s="1449"/>
      <c r="L68" s="1449"/>
      <c r="M68" s="1449"/>
      <c r="N68" s="1449"/>
    </row>
    <row r="69" spans="1:14" ht="79.5" customHeight="1">
      <c r="A69" s="1483">
        <v>7</v>
      </c>
      <c r="B69" s="1043" t="s">
        <v>756</v>
      </c>
      <c r="C69" s="1039" t="s">
        <v>757</v>
      </c>
      <c r="D69" s="1044"/>
      <c r="E69" s="1042"/>
    </row>
    <row r="70" spans="1:14" ht="315.75" customHeight="1">
      <c r="A70" s="1483">
        <v>7</v>
      </c>
      <c r="B70" s="1043" t="s">
        <v>758</v>
      </c>
      <c r="C70" s="1039" t="s">
        <v>1414</v>
      </c>
      <c r="D70" s="1354" t="s">
        <v>412</v>
      </c>
      <c r="E70" s="1042"/>
      <c r="K70" s="1449"/>
      <c r="L70" s="1449"/>
      <c r="M70" s="1449"/>
      <c r="N70" s="1449"/>
    </row>
    <row r="71" spans="1:14" ht="102.75" customHeight="1">
      <c r="A71" s="1483">
        <v>7</v>
      </c>
      <c r="B71" s="1043" t="s">
        <v>759</v>
      </c>
      <c r="C71" s="1039" t="s">
        <v>1180</v>
      </c>
      <c r="D71" s="1044"/>
      <c r="E71" s="1042"/>
      <c r="K71" s="1449"/>
    </row>
    <row r="72" spans="1:14" ht="172.5" customHeight="1">
      <c r="A72" s="1483">
        <v>7</v>
      </c>
      <c r="B72" s="1043" t="s">
        <v>760</v>
      </c>
      <c r="C72" s="1039" t="s">
        <v>1181</v>
      </c>
      <c r="D72" s="1044"/>
      <c r="E72" s="1042"/>
      <c r="K72" s="1449"/>
      <c r="L72" s="1449"/>
    </row>
    <row r="73" spans="1:14" ht="153" customHeight="1">
      <c r="A73" s="1483">
        <v>7</v>
      </c>
      <c r="B73" s="1043" t="s">
        <v>761</v>
      </c>
      <c r="C73" s="1048" t="s">
        <v>762</v>
      </c>
      <c r="D73" s="1044"/>
      <c r="E73" s="1042"/>
    </row>
    <row r="74" spans="1:14" ht="117" customHeight="1">
      <c r="A74" s="1483">
        <v>7</v>
      </c>
      <c r="B74" s="1043" t="s">
        <v>763</v>
      </c>
      <c r="C74" s="1039" t="s">
        <v>1182</v>
      </c>
      <c r="D74" s="1354" t="s">
        <v>412</v>
      </c>
      <c r="E74" s="1042"/>
      <c r="K74" s="1449"/>
    </row>
    <row r="75" spans="1:14" ht="79.5" customHeight="1">
      <c r="A75" s="1483">
        <v>7</v>
      </c>
      <c r="B75" s="1043" t="s">
        <v>764</v>
      </c>
      <c r="C75" s="1039" t="s">
        <v>1183</v>
      </c>
      <c r="D75" s="1044"/>
      <c r="E75" s="1042"/>
    </row>
    <row r="76" spans="1:14" ht="18">
      <c r="A76" s="1043"/>
      <c r="C76" s="1045" t="s">
        <v>765</v>
      </c>
      <c r="D76" s="1044"/>
      <c r="E76" s="1042"/>
    </row>
    <row r="77" spans="1:14" ht="135" customHeight="1">
      <c r="A77" s="1483">
        <v>7</v>
      </c>
      <c r="B77" s="1043" t="s">
        <v>766</v>
      </c>
      <c r="C77" s="1039" t="s">
        <v>767</v>
      </c>
      <c r="D77" s="1364" t="s">
        <v>412</v>
      </c>
      <c r="E77" s="1042"/>
    </row>
    <row r="78" spans="1:14" ht="189" customHeight="1">
      <c r="A78" s="1483">
        <v>7</v>
      </c>
      <c r="B78" s="1043" t="s">
        <v>695</v>
      </c>
      <c r="C78" s="1039" t="s">
        <v>1184</v>
      </c>
      <c r="D78" s="1364" t="s">
        <v>412</v>
      </c>
      <c r="E78" s="1042"/>
      <c r="K78" s="1449"/>
      <c r="L78" s="1449"/>
    </row>
    <row r="79" spans="1:14" ht="229.2" customHeight="1">
      <c r="A79" s="1527">
        <v>7</v>
      </c>
      <c r="B79" s="1528" t="s">
        <v>1388</v>
      </c>
      <c r="C79" s="1529" t="s">
        <v>1415</v>
      </c>
      <c r="D79" s="1530" t="s">
        <v>412</v>
      </c>
      <c r="E79" s="1531" t="s">
        <v>1406</v>
      </c>
      <c r="K79" s="1449"/>
      <c r="L79" s="1449"/>
    </row>
    <row r="80" spans="1:14" ht="18">
      <c r="A80" s="1528"/>
      <c r="B80" s="1528"/>
      <c r="C80" s="1532" t="s">
        <v>712</v>
      </c>
      <c r="D80" s="1533"/>
      <c r="E80" s="1534"/>
      <c r="K80" s="1449"/>
      <c r="L80" s="1449"/>
    </row>
    <row r="81" spans="1:12" ht="18">
      <c r="A81" s="1528"/>
      <c r="B81" s="1528"/>
      <c r="C81" s="1535" t="s">
        <v>1389</v>
      </c>
      <c r="D81" s="1530" t="s">
        <v>412</v>
      </c>
      <c r="E81" s="1534"/>
      <c r="K81" s="1449"/>
      <c r="L81" s="1449"/>
    </row>
    <row r="82" spans="1:12" ht="207.75" customHeight="1">
      <c r="A82" s="1527">
        <v>7</v>
      </c>
      <c r="B82" s="1528" t="s">
        <v>1390</v>
      </c>
      <c r="C82" s="1553" t="s">
        <v>1416</v>
      </c>
      <c r="D82" s="1530" t="s">
        <v>412</v>
      </c>
      <c r="E82" s="1531" t="s">
        <v>1407</v>
      </c>
      <c r="K82" s="1449"/>
      <c r="L82" s="1449"/>
    </row>
    <row r="83" spans="1:12" ht="206.25" customHeight="1">
      <c r="A83" s="1527">
        <v>7</v>
      </c>
      <c r="B83" s="1528" t="s">
        <v>1391</v>
      </c>
      <c r="C83" s="1529" t="s">
        <v>1417</v>
      </c>
      <c r="D83" s="1530" t="s">
        <v>412</v>
      </c>
      <c r="E83" s="1531" t="s">
        <v>1408</v>
      </c>
      <c r="K83" s="1449"/>
      <c r="L83" s="1449"/>
    </row>
    <row r="84" spans="1:12" ht="117" customHeight="1">
      <c r="A84" s="1483">
        <v>8</v>
      </c>
      <c r="B84" s="1043" t="s">
        <v>768</v>
      </c>
      <c r="C84" s="1039" t="s">
        <v>1185</v>
      </c>
      <c r="D84" s="1354" t="s">
        <v>412</v>
      </c>
      <c r="E84" s="1042"/>
      <c r="K84" s="1449"/>
    </row>
    <row r="85" spans="1:12" ht="18">
      <c r="A85" s="1043"/>
      <c r="B85" s="1043"/>
      <c r="C85" s="1045" t="s">
        <v>769</v>
      </c>
      <c r="D85" s="1327"/>
      <c r="E85" s="1042"/>
    </row>
    <row r="86" spans="1:12" ht="80.25" customHeight="1">
      <c r="A86" s="1483">
        <v>8</v>
      </c>
      <c r="B86" s="1043" t="s">
        <v>770</v>
      </c>
      <c r="C86" s="1039" t="s">
        <v>1186</v>
      </c>
      <c r="D86" s="1354" t="s">
        <v>412</v>
      </c>
      <c r="E86" s="1042"/>
      <c r="K86" s="1449"/>
    </row>
    <row r="87" spans="1:12" ht="18">
      <c r="A87" s="1043"/>
      <c r="B87" s="1043"/>
      <c r="C87" s="1045" t="s">
        <v>769</v>
      </c>
      <c r="D87" s="1327"/>
      <c r="E87" s="1042"/>
    </row>
    <row r="88" spans="1:12" ht="96.75" customHeight="1">
      <c r="A88" s="1483">
        <v>8</v>
      </c>
      <c r="B88" s="1043" t="s">
        <v>754</v>
      </c>
      <c r="C88" s="1039" t="s">
        <v>1187</v>
      </c>
      <c r="D88" s="1354" t="s">
        <v>412</v>
      </c>
      <c r="E88" s="1042"/>
      <c r="K88" s="1449"/>
    </row>
    <row r="89" spans="1:12" ht="64.5" customHeight="1">
      <c r="A89" s="1483">
        <v>8</v>
      </c>
      <c r="B89" s="1043" t="s">
        <v>771</v>
      </c>
      <c r="C89" s="1039" t="s">
        <v>1188</v>
      </c>
      <c r="D89" s="1354" t="s">
        <v>412</v>
      </c>
      <c r="E89" s="1042"/>
    </row>
    <row r="90" spans="1:12" ht="117" customHeight="1">
      <c r="A90" s="1483">
        <v>8</v>
      </c>
      <c r="B90" s="1043" t="s">
        <v>695</v>
      </c>
      <c r="C90" s="1039" t="s">
        <v>772</v>
      </c>
      <c r="D90" s="1354" t="s">
        <v>412</v>
      </c>
      <c r="E90" s="1042"/>
    </row>
    <row r="91" spans="1:12" ht="18">
      <c r="A91" s="1043"/>
      <c r="B91" s="1043"/>
      <c r="C91" s="1045" t="s">
        <v>769</v>
      </c>
      <c r="D91" s="1327"/>
      <c r="E91" s="1042"/>
    </row>
    <row r="92" spans="1:12" ht="115.5" customHeight="1">
      <c r="A92" s="1483">
        <v>8</v>
      </c>
      <c r="B92" s="1043" t="s">
        <v>714</v>
      </c>
      <c r="C92" s="1039" t="s">
        <v>1189</v>
      </c>
      <c r="D92" s="1044"/>
      <c r="E92" s="1042"/>
    </row>
    <row r="93" spans="1:12" ht="18">
      <c r="A93" s="1043"/>
      <c r="B93" s="1043"/>
      <c r="C93" s="1045" t="s">
        <v>769</v>
      </c>
      <c r="D93" s="1044"/>
      <c r="E93" s="1042"/>
    </row>
    <row r="94" spans="1:12" ht="81.75" customHeight="1">
      <c r="A94" s="1483">
        <v>8</v>
      </c>
      <c r="B94" s="1043" t="s">
        <v>773</v>
      </c>
      <c r="C94" s="1039" t="s">
        <v>1190</v>
      </c>
      <c r="D94" s="1354" t="s">
        <v>412</v>
      </c>
      <c r="E94" s="1042"/>
    </row>
    <row r="95" spans="1:12" ht="277.5" customHeight="1">
      <c r="A95" s="1483" t="s">
        <v>775</v>
      </c>
      <c r="B95" s="1043" t="s">
        <v>774</v>
      </c>
      <c r="C95" s="1039" t="s">
        <v>935</v>
      </c>
      <c r="D95" s="1044"/>
      <c r="E95" s="1042"/>
    </row>
    <row r="96" spans="1:12" ht="136.5" customHeight="1">
      <c r="A96" s="1483" t="s">
        <v>775</v>
      </c>
      <c r="B96" s="1043" t="s">
        <v>776</v>
      </c>
      <c r="C96" s="1039" t="s">
        <v>1191</v>
      </c>
      <c r="D96" s="1044"/>
      <c r="E96" s="1042"/>
      <c r="K96" s="1449"/>
      <c r="L96" s="1449"/>
    </row>
    <row r="97" spans="1:12" ht="172.5" customHeight="1">
      <c r="A97" s="1483" t="s">
        <v>775</v>
      </c>
      <c r="B97" s="1043" t="s">
        <v>776</v>
      </c>
      <c r="C97" s="1039" t="s">
        <v>1192</v>
      </c>
      <c r="D97" s="1044"/>
      <c r="E97" s="1042"/>
      <c r="K97" s="1449"/>
      <c r="L97" s="1449"/>
    </row>
    <row r="98" spans="1:12" ht="172.5" customHeight="1">
      <c r="A98" s="1483" t="s">
        <v>775</v>
      </c>
      <c r="B98" s="1043" t="s">
        <v>776</v>
      </c>
      <c r="C98" s="1039" t="s">
        <v>777</v>
      </c>
      <c r="D98" s="1044"/>
      <c r="E98" s="1042"/>
    </row>
    <row r="99" spans="1:12" ht="118.5" customHeight="1">
      <c r="A99" s="1483" t="s">
        <v>775</v>
      </c>
      <c r="B99" s="1043" t="s">
        <v>776</v>
      </c>
      <c r="C99" s="1039" t="s">
        <v>778</v>
      </c>
      <c r="D99" s="1044"/>
      <c r="E99" s="1042"/>
    </row>
    <row r="100" spans="1:12" ht="63" customHeight="1">
      <c r="A100" s="1483" t="s">
        <v>779</v>
      </c>
      <c r="B100" s="1043" t="s">
        <v>780</v>
      </c>
      <c r="C100" s="1039" t="s">
        <v>1193</v>
      </c>
      <c r="D100" s="1044"/>
      <c r="E100" s="1042"/>
    </row>
    <row r="101" spans="1:12" ht="100.5" customHeight="1">
      <c r="A101" s="1486" t="s">
        <v>781</v>
      </c>
      <c r="B101" s="1043" t="s">
        <v>396</v>
      </c>
      <c r="C101" s="1039" t="s">
        <v>782</v>
      </c>
      <c r="D101" s="1044"/>
      <c r="E101" s="1042"/>
    </row>
    <row r="102" spans="1:12" ht="246" customHeight="1">
      <c r="A102" s="1486" t="s">
        <v>781</v>
      </c>
      <c r="B102" s="1043" t="s">
        <v>783</v>
      </c>
      <c r="C102" s="1039" t="s">
        <v>1359</v>
      </c>
      <c r="D102" s="1044"/>
      <c r="E102" s="1042"/>
      <c r="K102" s="1449"/>
      <c r="L102" s="1449"/>
    </row>
    <row r="103" spans="1:12" ht="63.75" customHeight="1">
      <c r="A103" s="1486" t="s">
        <v>781</v>
      </c>
      <c r="B103" s="1043" t="s">
        <v>783</v>
      </c>
      <c r="C103" s="1039" t="s">
        <v>784</v>
      </c>
      <c r="D103" s="1044"/>
      <c r="E103" s="1042"/>
    </row>
    <row r="104" spans="1:12" ht="114" customHeight="1">
      <c r="A104" s="1486" t="s">
        <v>781</v>
      </c>
      <c r="B104" s="1043" t="s">
        <v>738</v>
      </c>
      <c r="C104" s="1039" t="s">
        <v>1194</v>
      </c>
      <c r="D104" s="1044"/>
      <c r="E104" s="1042"/>
      <c r="K104" s="1449"/>
    </row>
    <row r="105" spans="1:12" ht="99.75" customHeight="1">
      <c r="A105" s="1486" t="s">
        <v>781</v>
      </c>
      <c r="B105" s="1319" t="s">
        <v>768</v>
      </c>
      <c r="C105" s="1039" t="s">
        <v>785</v>
      </c>
      <c r="D105" s="1052"/>
      <c r="E105" s="1042"/>
    </row>
    <row r="106" spans="1:12" ht="36">
      <c r="A106" s="1486" t="s">
        <v>781</v>
      </c>
      <c r="B106" s="1043" t="s">
        <v>786</v>
      </c>
      <c r="C106" s="1042" t="s">
        <v>1195</v>
      </c>
      <c r="D106" s="1044"/>
      <c r="E106" s="1042"/>
    </row>
    <row r="107" spans="1:12" ht="114" customHeight="1">
      <c r="A107" s="1486" t="s">
        <v>781</v>
      </c>
      <c r="B107" s="1255" t="s">
        <v>787</v>
      </c>
      <c r="C107" s="1351" t="s">
        <v>936</v>
      </c>
      <c r="D107" s="1044"/>
      <c r="E107" s="1042"/>
    </row>
    <row r="108" spans="1:12" ht="101.25" customHeight="1">
      <c r="A108" s="1486" t="s">
        <v>788</v>
      </c>
      <c r="B108" s="1255" t="s">
        <v>396</v>
      </c>
      <c r="C108" s="1352" t="s">
        <v>884</v>
      </c>
      <c r="D108" s="1044"/>
      <c r="E108" s="1042"/>
    </row>
    <row r="109" spans="1:12" ht="82.5" customHeight="1">
      <c r="A109" s="1486" t="s">
        <v>788</v>
      </c>
      <c r="B109" s="1255" t="s">
        <v>789</v>
      </c>
      <c r="C109" s="1053" t="s">
        <v>1196</v>
      </c>
      <c r="D109" s="1044"/>
      <c r="E109" s="1257"/>
    </row>
    <row r="110" spans="1:12" ht="89.25" customHeight="1">
      <c r="A110" s="1486" t="s">
        <v>788</v>
      </c>
      <c r="B110" s="1255" t="s">
        <v>790</v>
      </c>
      <c r="C110" s="1546" t="s">
        <v>1386</v>
      </c>
      <c r="D110" s="1354" t="s">
        <v>412</v>
      </c>
      <c r="E110" s="1547" t="s">
        <v>1401</v>
      </c>
    </row>
    <row r="111" spans="1:12" ht="67.5" customHeight="1">
      <c r="A111" s="1486" t="s">
        <v>788</v>
      </c>
      <c r="B111" s="1255" t="s">
        <v>791</v>
      </c>
      <c r="C111" s="1053" t="s">
        <v>1197</v>
      </c>
      <c r="D111" s="1044"/>
      <c r="E111" s="1257"/>
    </row>
    <row r="112" spans="1:12" ht="72" customHeight="1">
      <c r="A112" s="1486" t="s">
        <v>788</v>
      </c>
      <c r="B112" s="1255" t="s">
        <v>1367</v>
      </c>
      <c r="C112" s="1053" t="s">
        <v>1198</v>
      </c>
      <c r="D112" s="1044"/>
      <c r="E112" s="1257"/>
    </row>
    <row r="113" spans="1:12" ht="86.25" customHeight="1">
      <c r="A113" s="1486" t="s">
        <v>788</v>
      </c>
      <c r="B113" s="1255" t="s">
        <v>792</v>
      </c>
      <c r="C113" s="1053" t="s">
        <v>1199</v>
      </c>
      <c r="D113" s="1044"/>
      <c r="E113" s="1482"/>
      <c r="F113" s="1481"/>
    </row>
    <row r="114" spans="1:12" ht="82.5" customHeight="1">
      <c r="A114" s="1486" t="s">
        <v>788</v>
      </c>
      <c r="B114" s="1255" t="s">
        <v>793</v>
      </c>
      <c r="C114" s="1053" t="s">
        <v>1200</v>
      </c>
      <c r="D114" s="1044"/>
      <c r="E114" s="1257"/>
    </row>
    <row r="115" spans="1:12" ht="157.19999999999999" customHeight="1">
      <c r="A115" s="1486" t="s">
        <v>788</v>
      </c>
      <c r="B115" s="1255" t="s">
        <v>794</v>
      </c>
      <c r="C115" s="1053" t="s">
        <v>1201</v>
      </c>
      <c r="D115" s="1044"/>
      <c r="E115" s="1257"/>
    </row>
    <row r="116" spans="1:12" ht="98.7" customHeight="1">
      <c r="A116" s="1486" t="s">
        <v>788</v>
      </c>
      <c r="B116" s="1255" t="s">
        <v>795</v>
      </c>
      <c r="C116" s="1053" t="s">
        <v>1202</v>
      </c>
      <c r="D116" s="1044"/>
      <c r="E116" s="1257"/>
    </row>
    <row r="117" spans="1:12" ht="100.2" customHeight="1">
      <c r="A117" s="1486" t="s">
        <v>788</v>
      </c>
      <c r="B117" s="1255" t="s">
        <v>796</v>
      </c>
      <c r="C117" s="1053" t="s">
        <v>1203</v>
      </c>
      <c r="D117" s="1044"/>
      <c r="E117" s="1257"/>
    </row>
    <row r="118" spans="1:12" ht="93" customHeight="1">
      <c r="A118" s="1486" t="s">
        <v>788</v>
      </c>
      <c r="B118" s="1255" t="s">
        <v>797</v>
      </c>
      <c r="C118" s="1352" t="s">
        <v>948</v>
      </c>
      <c r="D118" s="1044"/>
      <c r="E118" s="1257"/>
    </row>
    <row r="119" spans="1:12" ht="155.25" customHeight="1">
      <c r="A119" s="1486" t="s">
        <v>788</v>
      </c>
      <c r="B119" s="1255" t="s">
        <v>798</v>
      </c>
      <c r="C119" s="1352" t="s">
        <v>799</v>
      </c>
      <c r="D119" s="1044"/>
      <c r="E119" s="1257"/>
    </row>
    <row r="120" spans="1:12" ht="117.75" customHeight="1">
      <c r="A120" s="1486" t="s">
        <v>788</v>
      </c>
      <c r="B120" s="1255" t="s">
        <v>800</v>
      </c>
      <c r="C120" s="1053" t="s">
        <v>1204</v>
      </c>
      <c r="D120" s="1044"/>
      <c r="E120" s="1257"/>
    </row>
    <row r="121" spans="1:12" ht="145.19999999999999" customHeight="1">
      <c r="A121" s="1486" t="s">
        <v>788</v>
      </c>
      <c r="B121" s="1255" t="s">
        <v>801</v>
      </c>
      <c r="C121" s="1053" t="s">
        <v>1363</v>
      </c>
      <c r="D121" s="1044"/>
      <c r="E121" s="1257"/>
    </row>
    <row r="122" spans="1:12" ht="82.5" customHeight="1">
      <c r="A122" s="1486" t="s">
        <v>788</v>
      </c>
      <c r="B122" s="1255" t="s">
        <v>924</v>
      </c>
      <c r="C122" s="1352" t="s">
        <v>925</v>
      </c>
      <c r="D122" s="1044"/>
      <c r="E122" s="1257"/>
    </row>
    <row r="123" spans="1:12" ht="84" customHeight="1">
      <c r="A123" s="1486" t="s">
        <v>802</v>
      </c>
      <c r="B123" s="1043" t="s">
        <v>396</v>
      </c>
      <c r="C123" s="1053" t="s">
        <v>803</v>
      </c>
      <c r="D123" s="1044"/>
      <c r="E123" s="1042"/>
    </row>
    <row r="124" spans="1:12" ht="83.25" customHeight="1">
      <c r="A124" s="1486" t="s">
        <v>802</v>
      </c>
      <c r="B124" s="1043" t="s">
        <v>396</v>
      </c>
      <c r="C124" s="1053" t="s">
        <v>804</v>
      </c>
      <c r="D124" s="1044"/>
      <c r="E124" s="1042"/>
    </row>
    <row r="125" spans="1:12" ht="72" customHeight="1">
      <c r="A125" s="1486" t="s">
        <v>802</v>
      </c>
      <c r="B125" s="1043" t="s">
        <v>897</v>
      </c>
      <c r="C125" s="1502" t="s">
        <v>937</v>
      </c>
      <c r="D125" s="1044"/>
      <c r="E125" s="1047"/>
    </row>
    <row r="126" spans="1:12" ht="111" customHeight="1">
      <c r="A126" s="1486" t="s">
        <v>802</v>
      </c>
      <c r="B126" s="1043" t="s">
        <v>898</v>
      </c>
      <c r="C126" s="1502" t="s">
        <v>938</v>
      </c>
      <c r="D126" s="1044"/>
      <c r="E126" s="1047"/>
    </row>
    <row r="127" spans="1:12" ht="101.25" customHeight="1">
      <c r="A127" s="1486" t="s">
        <v>802</v>
      </c>
      <c r="B127" s="1043" t="s">
        <v>805</v>
      </c>
      <c r="C127" s="1054" t="s">
        <v>1205</v>
      </c>
      <c r="D127" s="1055"/>
      <c r="E127" s="1042"/>
      <c r="F127" s="1451"/>
      <c r="K127" s="1449"/>
    </row>
    <row r="128" spans="1:12" ht="263.25" customHeight="1">
      <c r="A128" s="1486" t="s">
        <v>802</v>
      </c>
      <c r="B128" s="1043" t="s">
        <v>806</v>
      </c>
      <c r="C128" s="1054" t="s">
        <v>1206</v>
      </c>
      <c r="D128" s="1365" t="s">
        <v>412</v>
      </c>
      <c r="E128" s="1042"/>
      <c r="K128" s="1449"/>
      <c r="L128" s="1449"/>
    </row>
    <row r="129" spans="1:13" ht="354.45" customHeight="1">
      <c r="A129" s="1486" t="s">
        <v>802</v>
      </c>
      <c r="B129" s="1043" t="s">
        <v>807</v>
      </c>
      <c r="C129" s="1211" t="s">
        <v>1207</v>
      </c>
      <c r="D129" s="1365" t="s">
        <v>412</v>
      </c>
      <c r="E129" s="1257"/>
      <c r="K129" s="1449"/>
      <c r="L129" s="1449"/>
      <c r="M129" s="1449"/>
    </row>
    <row r="130" spans="1:13" ht="204" customHeight="1">
      <c r="A130" s="1486" t="s">
        <v>802</v>
      </c>
      <c r="B130" s="1043" t="s">
        <v>808</v>
      </c>
      <c r="C130" s="1054" t="s">
        <v>1208</v>
      </c>
      <c r="D130" s="1365" t="s">
        <v>412</v>
      </c>
      <c r="E130" s="1047"/>
      <c r="K130" s="1449"/>
    </row>
    <row r="131" spans="1:13" ht="59.25" customHeight="1">
      <c r="A131" s="1486" t="s">
        <v>802</v>
      </c>
      <c r="B131" s="1043" t="s">
        <v>809</v>
      </c>
      <c r="C131" s="1057" t="s">
        <v>811</v>
      </c>
      <c r="D131" s="1321"/>
      <c r="E131" s="1042"/>
    </row>
    <row r="132" spans="1:13" ht="385.5" customHeight="1">
      <c r="A132" s="1486" t="s">
        <v>802</v>
      </c>
      <c r="B132" s="1419" t="s">
        <v>900</v>
      </c>
      <c r="C132" s="1054" t="s">
        <v>810</v>
      </c>
      <c r="D132" s="1321"/>
      <c r="E132" s="1042"/>
    </row>
    <row r="133" spans="1:13" ht="22.5" customHeight="1">
      <c r="A133" s="1317"/>
      <c r="B133" s="1319"/>
      <c r="C133" s="1056" t="s">
        <v>702</v>
      </c>
      <c r="D133" s="1321"/>
      <c r="E133" s="1042"/>
    </row>
    <row r="134" spans="1:13" ht="59.25" customHeight="1">
      <c r="A134" s="1486" t="s">
        <v>802</v>
      </c>
      <c r="B134" s="1043" t="s">
        <v>812</v>
      </c>
      <c r="C134" s="1057" t="s">
        <v>813</v>
      </c>
      <c r="D134" s="1321"/>
      <c r="E134" s="1042"/>
    </row>
    <row r="135" spans="1:13" ht="60.75" customHeight="1">
      <c r="A135" s="1486" t="s">
        <v>802</v>
      </c>
      <c r="B135" s="1043" t="s">
        <v>814</v>
      </c>
      <c r="C135" s="1054" t="s">
        <v>815</v>
      </c>
      <c r="D135" s="1044"/>
      <c r="E135" s="1042"/>
    </row>
    <row r="136" spans="1:13" ht="63.75" customHeight="1">
      <c r="A136" s="1486" t="s">
        <v>802</v>
      </c>
      <c r="B136" s="1043" t="s">
        <v>816</v>
      </c>
      <c r="C136" s="1054" t="s">
        <v>817</v>
      </c>
      <c r="D136" s="1044"/>
      <c r="E136" s="1042"/>
    </row>
    <row r="137" spans="1:13" ht="58.5" customHeight="1">
      <c r="A137" s="1486" t="s">
        <v>802</v>
      </c>
      <c r="B137" s="1043" t="s">
        <v>818</v>
      </c>
      <c r="C137" s="1054" t="s">
        <v>819</v>
      </c>
      <c r="D137" s="1044"/>
      <c r="E137" s="1042"/>
    </row>
    <row r="138" spans="1:13" ht="63" customHeight="1">
      <c r="A138" s="1486" t="s">
        <v>802</v>
      </c>
      <c r="B138" s="1043" t="s">
        <v>820</v>
      </c>
      <c r="C138" s="1054" t="s">
        <v>821</v>
      </c>
      <c r="D138" s="1044"/>
      <c r="E138" s="1042"/>
    </row>
    <row r="139" spans="1:13" ht="61.5" customHeight="1">
      <c r="A139" s="1486" t="s">
        <v>802</v>
      </c>
      <c r="B139" s="1043" t="s">
        <v>822</v>
      </c>
      <c r="C139" s="1054" t="s">
        <v>823</v>
      </c>
      <c r="D139" s="1044"/>
      <c r="E139" s="1042"/>
    </row>
    <row r="140" spans="1:13" ht="59.25" customHeight="1">
      <c r="A140" s="1486" t="s">
        <v>802</v>
      </c>
      <c r="B140" s="1043" t="s">
        <v>824</v>
      </c>
      <c r="C140" s="1054" t="s">
        <v>825</v>
      </c>
      <c r="D140" s="1044"/>
      <c r="E140" s="1042"/>
    </row>
    <row r="141" spans="1:13" ht="63" customHeight="1">
      <c r="A141" s="1486" t="s">
        <v>802</v>
      </c>
      <c r="B141" s="1043" t="s">
        <v>826</v>
      </c>
      <c r="C141" s="1054" t="s">
        <v>827</v>
      </c>
      <c r="D141" s="1044"/>
      <c r="E141" s="1042"/>
    </row>
    <row r="142" spans="1:13" ht="58.5" customHeight="1">
      <c r="A142" s="1486" t="s">
        <v>802</v>
      </c>
      <c r="B142" s="1043" t="s">
        <v>828</v>
      </c>
      <c r="C142" s="1054" t="s">
        <v>829</v>
      </c>
      <c r="D142" s="1044"/>
      <c r="E142" s="1042"/>
    </row>
    <row r="143" spans="1:13" ht="59.25" customHeight="1">
      <c r="A143" s="1486" t="s">
        <v>802</v>
      </c>
      <c r="B143" s="1043" t="s">
        <v>830</v>
      </c>
      <c r="C143" s="1054" t="s">
        <v>831</v>
      </c>
      <c r="D143" s="1044"/>
      <c r="E143" s="1042"/>
    </row>
    <row r="144" spans="1:13" ht="63.75" customHeight="1">
      <c r="A144" s="1486" t="s">
        <v>802</v>
      </c>
      <c r="B144" s="1043" t="s">
        <v>832</v>
      </c>
      <c r="C144" s="1054" t="s">
        <v>833</v>
      </c>
      <c r="D144" s="1044"/>
      <c r="E144" s="1042"/>
    </row>
    <row r="145" spans="1:12" ht="99" customHeight="1">
      <c r="A145" s="1486" t="s">
        <v>802</v>
      </c>
      <c r="B145" s="1043" t="s">
        <v>834</v>
      </c>
      <c r="C145" s="1054" t="s">
        <v>1209</v>
      </c>
      <c r="D145" s="1044"/>
      <c r="E145" s="1042"/>
    </row>
    <row r="146" spans="1:12" ht="151.19999999999999" customHeight="1">
      <c r="A146" s="1486" t="s">
        <v>802</v>
      </c>
      <c r="B146" s="1043" t="s">
        <v>885</v>
      </c>
      <c r="C146" s="1054" t="s">
        <v>1360</v>
      </c>
      <c r="D146" s="1365" t="s">
        <v>412</v>
      </c>
      <c r="E146" s="1042"/>
      <c r="F146" s="1478"/>
    </row>
    <row r="147" spans="1:12" ht="103.5" customHeight="1">
      <c r="A147" s="1486" t="s">
        <v>802</v>
      </c>
      <c r="B147" s="1043" t="s">
        <v>835</v>
      </c>
      <c r="C147" s="1054" t="s">
        <v>836</v>
      </c>
      <c r="D147" s="1044"/>
      <c r="E147" s="1042"/>
    </row>
    <row r="148" spans="1:12" ht="154.5" customHeight="1">
      <c r="A148" s="1486" t="s">
        <v>802</v>
      </c>
      <c r="B148" s="1043" t="s">
        <v>837</v>
      </c>
      <c r="C148" s="1042" t="s">
        <v>1210</v>
      </c>
      <c r="D148" s="1044"/>
      <c r="E148" s="1042"/>
      <c r="K148" s="1449"/>
      <c r="L148" s="1449"/>
    </row>
    <row r="149" spans="1:12" ht="18.75" customHeight="1">
      <c r="A149" s="1042"/>
      <c r="B149" s="1043"/>
      <c r="C149" s="1058" t="s">
        <v>838</v>
      </c>
      <c r="D149" s="1044"/>
      <c r="E149" s="1042"/>
    </row>
    <row r="150" spans="1:12" ht="66.75" customHeight="1">
      <c r="A150" s="1486" t="s">
        <v>802</v>
      </c>
      <c r="B150" s="1043" t="s">
        <v>839</v>
      </c>
      <c r="C150" s="1042" t="s">
        <v>1211</v>
      </c>
      <c r="D150" s="1044"/>
      <c r="E150" s="1042"/>
    </row>
    <row r="151" spans="1:12" ht="61.5" customHeight="1">
      <c r="A151" s="1486" t="s">
        <v>802</v>
      </c>
      <c r="B151" s="1043" t="s">
        <v>840</v>
      </c>
      <c r="C151" s="1042" t="s">
        <v>1212</v>
      </c>
      <c r="D151" s="1044"/>
      <c r="E151" s="1042"/>
    </row>
    <row r="152" spans="1:12" ht="25.5" customHeight="1">
      <c r="A152" s="1042"/>
      <c r="B152" s="1043"/>
      <c r="C152" s="1058" t="s">
        <v>712</v>
      </c>
      <c r="D152" s="1044"/>
      <c r="E152" s="1042"/>
    </row>
    <row r="153" spans="1:12" ht="151.5" customHeight="1">
      <c r="A153" s="1486" t="s">
        <v>802</v>
      </c>
      <c r="B153" s="1043" t="s">
        <v>841</v>
      </c>
      <c r="C153" s="1212" t="s">
        <v>1213</v>
      </c>
      <c r="D153" s="1044"/>
      <c r="E153" s="1042"/>
      <c r="K153" s="1449"/>
      <c r="L153" s="1449"/>
    </row>
    <row r="154" spans="1:12" ht="117" customHeight="1">
      <c r="A154" s="1486" t="s">
        <v>802</v>
      </c>
      <c r="B154" s="1043" t="s">
        <v>842</v>
      </c>
      <c r="C154" s="1042" t="s">
        <v>1214</v>
      </c>
      <c r="D154" s="1044"/>
      <c r="E154" s="1042"/>
      <c r="K154" s="1449"/>
    </row>
    <row r="155" spans="1:12" ht="135" customHeight="1">
      <c r="A155" s="1486" t="s">
        <v>802</v>
      </c>
      <c r="B155" s="1043" t="s">
        <v>843</v>
      </c>
      <c r="C155" s="1042" t="s">
        <v>844</v>
      </c>
      <c r="D155" s="1044"/>
      <c r="E155" s="1042"/>
    </row>
    <row r="156" spans="1:12" ht="18">
      <c r="A156" s="1042"/>
      <c r="B156" s="1043"/>
      <c r="C156" s="1058" t="s">
        <v>712</v>
      </c>
      <c r="D156" s="1044"/>
      <c r="E156" s="1042"/>
    </row>
    <row r="157" spans="1:12" ht="86.25" customHeight="1">
      <c r="A157" s="1486" t="s">
        <v>802</v>
      </c>
      <c r="B157" s="1043" t="s">
        <v>845</v>
      </c>
      <c r="C157" s="1042" t="s">
        <v>1215</v>
      </c>
      <c r="D157" s="1044"/>
      <c r="E157" s="1042"/>
      <c r="K157" s="1449"/>
    </row>
    <row r="158" spans="1:12" ht="47.25" customHeight="1">
      <c r="A158" s="1486" t="s">
        <v>802</v>
      </c>
      <c r="B158" s="1043" t="s">
        <v>846</v>
      </c>
      <c r="C158" s="1042" t="s">
        <v>847</v>
      </c>
      <c r="D158" s="1044"/>
      <c r="E158" s="1042"/>
    </row>
    <row r="159" spans="1:12" ht="261" customHeight="1">
      <c r="A159" s="1486" t="s">
        <v>802</v>
      </c>
      <c r="B159" s="1043" t="s">
        <v>848</v>
      </c>
      <c r="C159" s="1042" t="s">
        <v>849</v>
      </c>
      <c r="D159" s="1044"/>
      <c r="E159" s="1042"/>
    </row>
    <row r="160" spans="1:12" ht="153.75" customHeight="1">
      <c r="A160" s="1486" t="s">
        <v>802</v>
      </c>
      <c r="B160" s="1043" t="s">
        <v>850</v>
      </c>
      <c r="C160" s="1054" t="s">
        <v>939</v>
      </c>
      <c r="D160" s="1365" t="s">
        <v>412</v>
      </c>
      <c r="E160" s="1042"/>
    </row>
    <row r="161" spans="1:14" ht="135" customHeight="1">
      <c r="A161" s="1486" t="s">
        <v>802</v>
      </c>
      <c r="B161" s="1043" t="s">
        <v>851</v>
      </c>
      <c r="C161" s="1042" t="s">
        <v>905</v>
      </c>
      <c r="D161" s="1365" t="s">
        <v>412</v>
      </c>
      <c r="E161" s="1047"/>
    </row>
    <row r="162" spans="1:14" ht="62.25" customHeight="1">
      <c r="A162" s="1486" t="s">
        <v>802</v>
      </c>
      <c r="B162" s="1080" t="s">
        <v>852</v>
      </c>
      <c r="C162" s="1079" t="s">
        <v>853</v>
      </c>
      <c r="D162" s="1044"/>
      <c r="E162" s="1042"/>
    </row>
    <row r="163" spans="1:14" ht="168" customHeight="1">
      <c r="A163" s="1486" t="s">
        <v>802</v>
      </c>
      <c r="B163" s="1255" t="s">
        <v>854</v>
      </c>
      <c r="C163" s="1353" t="s">
        <v>906</v>
      </c>
      <c r="D163" s="1366" t="s">
        <v>412</v>
      </c>
      <c r="E163" s="1042"/>
    </row>
    <row r="164" spans="1:14" ht="22.5" customHeight="1">
      <c r="A164" s="1043"/>
      <c r="B164" s="1043"/>
      <c r="C164" s="1045" t="s">
        <v>769</v>
      </c>
      <c r="D164" s="1044"/>
      <c r="E164" s="1257"/>
    </row>
    <row r="165" spans="1:14" ht="169.5" customHeight="1">
      <c r="A165" s="1486" t="s">
        <v>802</v>
      </c>
      <c r="B165" s="1255" t="s">
        <v>855</v>
      </c>
      <c r="C165" s="1353" t="s">
        <v>907</v>
      </c>
      <c r="D165" s="1366" t="s">
        <v>412</v>
      </c>
      <c r="E165" s="1257"/>
    </row>
    <row r="166" spans="1:14" ht="18">
      <c r="A166" s="1043"/>
      <c r="B166" s="1043"/>
      <c r="C166" s="1045" t="s">
        <v>769</v>
      </c>
      <c r="D166" s="1044"/>
      <c r="E166" s="1257"/>
    </row>
    <row r="167" spans="1:14" ht="54">
      <c r="A167" s="1486" t="s">
        <v>802</v>
      </c>
      <c r="B167" s="1043" t="s">
        <v>856</v>
      </c>
      <c r="C167" s="1503" t="s">
        <v>902</v>
      </c>
      <c r="D167" s="1118"/>
      <c r="E167" s="1047"/>
    </row>
    <row r="168" spans="1:14" ht="54">
      <c r="A168" s="1486" t="s">
        <v>802</v>
      </c>
      <c r="B168" s="1043" t="s">
        <v>857</v>
      </c>
      <c r="C168" s="1503" t="s">
        <v>902</v>
      </c>
      <c r="D168" s="1118"/>
      <c r="E168" s="1047"/>
    </row>
    <row r="169" spans="1:14" ht="63" customHeight="1">
      <c r="A169" s="1486" t="s">
        <v>802</v>
      </c>
      <c r="B169" s="1255" t="s">
        <v>858</v>
      </c>
      <c r="C169" s="1042" t="s">
        <v>859</v>
      </c>
      <c r="D169" s="1118"/>
      <c r="E169" s="1042"/>
    </row>
    <row r="170" spans="1:14" s="1081" customFormat="1" ht="115.5" customHeight="1">
      <c r="A170" s="1486" t="s">
        <v>802</v>
      </c>
      <c r="B170" s="1080" t="s">
        <v>860</v>
      </c>
      <c r="C170" s="1079" t="s">
        <v>940</v>
      </c>
      <c r="D170" s="1366" t="s">
        <v>412</v>
      </c>
      <c r="E170" s="1079"/>
      <c r="F170" s="1038"/>
      <c r="G170" s="1038"/>
      <c r="H170" s="1038"/>
      <c r="I170" s="1038"/>
      <c r="J170" s="1038"/>
      <c r="K170" s="1038"/>
      <c r="L170" s="1038"/>
      <c r="M170" s="1038"/>
      <c r="N170" s="1038"/>
    </row>
    <row r="171" spans="1:14" ht="121.5" customHeight="1">
      <c r="A171" s="1486" t="s">
        <v>802</v>
      </c>
      <c r="B171" s="1043" t="s">
        <v>861</v>
      </c>
      <c r="C171" s="1042" t="s">
        <v>1361</v>
      </c>
      <c r="D171" s="1354" t="s">
        <v>412</v>
      </c>
      <c r="E171" s="1042"/>
      <c r="K171" s="1449"/>
    </row>
    <row r="172" spans="1:14" ht="138" customHeight="1">
      <c r="A172" s="1486" t="s">
        <v>802</v>
      </c>
      <c r="B172" s="1255" t="s">
        <v>862</v>
      </c>
      <c r="C172" s="1042" t="s">
        <v>1216</v>
      </c>
      <c r="D172" s="1044"/>
      <c r="E172" s="1042"/>
      <c r="K172" s="1449"/>
      <c r="L172" s="1449"/>
    </row>
    <row r="173" spans="1:14" ht="133.5" customHeight="1">
      <c r="A173" s="1486" t="s">
        <v>802</v>
      </c>
      <c r="B173" s="1043" t="s">
        <v>863</v>
      </c>
      <c r="C173" s="1042" t="s">
        <v>1217</v>
      </c>
      <c r="D173" s="1044"/>
      <c r="E173" s="1042"/>
      <c r="K173" s="1449"/>
      <c r="L173" s="1449"/>
    </row>
    <row r="174" spans="1:14" ht="114.75" customHeight="1">
      <c r="A174" s="1486" t="s">
        <v>802</v>
      </c>
      <c r="B174" s="1043" t="s">
        <v>864</v>
      </c>
      <c r="C174" s="1042" t="s">
        <v>865</v>
      </c>
      <c r="D174" s="1044"/>
      <c r="E174" s="1042"/>
    </row>
    <row r="175" spans="1:14" ht="62.25" customHeight="1">
      <c r="A175" s="1486" t="s">
        <v>802</v>
      </c>
      <c r="B175" s="1043" t="s">
        <v>866</v>
      </c>
      <c r="C175" s="1042" t="s">
        <v>867</v>
      </c>
      <c r="D175" s="1044"/>
      <c r="E175" s="1042"/>
    </row>
    <row r="176" spans="1:14" ht="168" customHeight="1">
      <c r="A176" s="1486" t="s">
        <v>802</v>
      </c>
      <c r="B176" s="1043" t="s">
        <v>868</v>
      </c>
      <c r="C176" s="1042" t="s">
        <v>1218</v>
      </c>
      <c r="D176" s="1044"/>
      <c r="E176" s="1042"/>
      <c r="K176" s="1449"/>
      <c r="L176" s="1449"/>
    </row>
    <row r="177" spans="1:5" ht="81" customHeight="1">
      <c r="A177" s="1486" t="s">
        <v>802</v>
      </c>
      <c r="B177" s="1043" t="s">
        <v>869</v>
      </c>
      <c r="C177" s="1042" t="s">
        <v>870</v>
      </c>
      <c r="D177" s="1044"/>
      <c r="E177" s="1042"/>
    </row>
    <row r="178" spans="1:5" ht="18">
      <c r="A178" s="1042"/>
      <c r="B178" s="1043"/>
      <c r="C178" s="1059" t="s">
        <v>769</v>
      </c>
      <c r="D178" s="1044"/>
      <c r="E178" s="1042"/>
    </row>
    <row r="179" spans="1:5" ht="100.5" customHeight="1">
      <c r="A179" s="1486" t="s">
        <v>802</v>
      </c>
      <c r="B179" s="1043" t="s">
        <v>871</v>
      </c>
      <c r="C179" s="1042" t="s">
        <v>872</v>
      </c>
      <c r="D179" s="1044"/>
      <c r="E179" s="1042"/>
    </row>
    <row r="180" spans="1:5" ht="150" customHeight="1">
      <c r="A180" s="1486" t="s">
        <v>802</v>
      </c>
      <c r="B180" s="1043" t="s">
        <v>873</v>
      </c>
      <c r="C180" s="1042" t="s">
        <v>874</v>
      </c>
      <c r="D180" s="1044"/>
      <c r="E180" s="1042"/>
    </row>
    <row r="181" spans="1:5" ht="133.5" customHeight="1">
      <c r="A181" s="1486" t="s">
        <v>473</v>
      </c>
      <c r="B181" s="1043" t="s">
        <v>396</v>
      </c>
      <c r="C181" s="1042" t="s">
        <v>875</v>
      </c>
      <c r="D181" s="1044"/>
      <c r="E181" s="1042"/>
    </row>
    <row r="182" spans="1:5" ht="64.5" customHeight="1">
      <c r="A182" s="1486" t="s">
        <v>876</v>
      </c>
      <c r="B182" s="1043" t="s">
        <v>396</v>
      </c>
      <c r="C182" s="1042" t="s">
        <v>877</v>
      </c>
      <c r="D182" s="1042"/>
      <c r="E182" s="1042"/>
    </row>
    <row r="183" spans="1:5" ht="43.5" customHeight="1">
      <c r="A183" s="1486" t="s">
        <v>876</v>
      </c>
      <c r="B183" s="1043" t="s">
        <v>878</v>
      </c>
      <c r="C183" s="1042" t="s">
        <v>879</v>
      </c>
      <c r="D183" s="1044"/>
      <c r="E183" s="1042"/>
    </row>
    <row r="184" spans="1:5" ht="229.5" customHeight="1">
      <c r="A184" s="1486" t="s">
        <v>876</v>
      </c>
      <c r="B184" s="1043" t="s">
        <v>880</v>
      </c>
      <c r="C184" s="1042" t="s">
        <v>908</v>
      </c>
      <c r="D184" s="1044"/>
      <c r="E184" s="1042"/>
    </row>
  </sheetData>
  <sheetProtection sheet="1" formatCells="0" formatColumns="0" formatRows="0" autoFilter="0"/>
  <autoFilter ref="D1:E184"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149" r:id="rId3" display="mailto:SFAnalystTeam@azed.gov" xr:uid="{00000000-0004-0000-1200-000003000000}"/>
    <hyperlink ref="C32" r:id="rId4" xr:uid="{00000000-0004-0000-1200-000004000000}"/>
    <hyperlink ref="C133" r:id="rId5" xr:uid="{00000000-0004-0000-1200-000006000000}"/>
    <hyperlink ref="C3" location="DataEntryGeneral" display="Data Entry instructions" xr:uid="{00000000-0004-0000-1200-000007000000}"/>
    <hyperlink ref="C62" r:id="rId6" display="mailto:SFBudgetTeam@azed.gov" xr:uid="{00000000-0004-0000-1200-000008000000}"/>
    <hyperlink ref="C76" r:id="rId7" display="mailto:SFPaymentTeam@azed.gov" xr:uid="{00000000-0004-0000-1200-000009000000}"/>
    <hyperlink ref="C85" r:id="rId8" display="mailto:SFBudgetTeam@azed.gov" xr:uid="{00000000-0004-0000-1200-00000A000000}"/>
    <hyperlink ref="C87" r:id="rId9" display="mailto:SFBudgetTeam@azed.gov" xr:uid="{00000000-0004-0000-1200-00000B000000}"/>
    <hyperlink ref="C91" r:id="rId10" display="mailto:SFBudgetTeam@azed.gov" xr:uid="{00000000-0004-0000-1200-00000C000000}"/>
    <hyperlink ref="C93" r:id="rId11" display="mailto:SFBudgetTeam@azed.gov" xr:uid="{00000000-0004-0000-1200-00000D000000}"/>
    <hyperlink ref="C178" r:id="rId12" display="mailto:SFBudgetTeam@azed.gov" xr:uid="{00000000-0004-0000-1200-00000E000000}"/>
    <hyperlink ref="C166" r:id="rId13" display="mailto:SFBudgetTeam@azed.gov" xr:uid="{00000000-0004-0000-1200-000010000000}"/>
    <hyperlink ref="C164" r:id="rId14" display="mailto:SFBudgetTeam@azed.gov" xr:uid="{00000000-0004-0000-1200-000011000000}"/>
    <hyperlink ref="C152" r:id="rId15" xr:uid="{00000000-0004-0000-1200-000012000000}"/>
    <hyperlink ref="C156" r:id="rId16"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84" location="'Page 8'!A1" display="'Page 8'!A1" xr:uid="{05BB0E36-FEAC-43FE-9AB3-3F85B1992921}"/>
    <hyperlink ref="A95" location="Supplement!A1" display="Suppl" xr:uid="{37774D45-E60A-4932-991D-0B779FFB51F0}"/>
    <hyperlink ref="A100" location="'Summary Page 1'!A1" display="Summary" xr:uid="{E94ADBB9-67C0-4DFE-B467-FD57DE20912B}"/>
    <hyperlink ref="A101" location="'Truth in Tax'!A1" display="Truth in Taxation Work Sheet" xr:uid="{8F705ED2-00A0-45DB-8622-E41DA7B8FEAB}"/>
    <hyperlink ref="A108" location="'Fund balances'!A1" display="Fund balances" xr:uid="{6E289BBC-941F-4904-A2C3-3A2F9A362ADA}"/>
    <hyperlink ref="A123" location="'Data Entry'!A1" display="Data Entry" xr:uid="{109BBEB7-AEC3-47E3-A223-43A10AB99871}"/>
    <hyperlink ref="A181" location="Calculations!A1" display="Calculations" xr:uid="{576C185A-5182-4D1B-BF72-C0068A937D4A}"/>
    <hyperlink ref="A182"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6" location="'Page 8'!A1" display="'Page 8'!A1" xr:uid="{DE09A6A4-55BC-448E-9834-017352628906}"/>
    <hyperlink ref="A88" location="'Page 8'!A1" display="'Page 8'!A1" xr:uid="{EF6127D2-817A-4823-90AB-666A828848BB}"/>
    <hyperlink ref="A89" location="'Page 8'!A1" display="'Page 8'!A1" xr:uid="{20177DC8-46A3-44BD-BE4B-C678F68C1415}"/>
    <hyperlink ref="A90" location="'Page 8'!A1" display="'Page 8'!A1" xr:uid="{8BF7B852-539E-4872-90A2-93F8AF295728}"/>
    <hyperlink ref="A92" location="'Page 8'!A1" display="'Page 8'!A1" xr:uid="{A9D7DB8E-0C39-484F-B557-CB7A6F7D32D2}"/>
    <hyperlink ref="A94" location="'Page 8'!A1" display="'Page 8'!A1" xr:uid="{6A4F3AE9-3569-4871-AD64-C99CB047D0E1}"/>
    <hyperlink ref="A96" location="Supplement!A1" display="Suppl" xr:uid="{BE4EFDD5-D758-4EDD-B7B2-EDC8FFE9CDE1}"/>
    <hyperlink ref="A97" location="Supplement!A1" display="Suppl" xr:uid="{01D95F09-4F14-485E-96AF-C4406AB4F5DD}"/>
    <hyperlink ref="A98" location="Supplement!A1" display="Suppl" xr:uid="{2A7A5FF7-79CC-4707-967A-4172EE7572D5}"/>
    <hyperlink ref="A99" location="Supplement!A1" display="Suppl" xr:uid="{83CFBC94-B662-423B-9684-E510A0DE4B06}"/>
    <hyperlink ref="A102" location="'Truth in Tax'!A1" display="Truth in Taxation Work Sheet" xr:uid="{3EE6E5A6-DC76-44EF-8928-5EB1BB30CAA2}"/>
    <hyperlink ref="A103" location="'Truth in Tax'!A1" display="Truth in Taxation Work Sheet" xr:uid="{A9F298AC-1358-4272-9163-D86B6B72E9CA}"/>
    <hyperlink ref="A104" location="'Truth in Tax'!A1" display="Truth in Taxation Work Sheet" xr:uid="{197BEA08-628F-445E-9E9A-453E7C4641FC}"/>
    <hyperlink ref="A105" location="'Truth in Tax'!A1" display="Truth in Taxation Work Sheet" xr:uid="{4765E5B7-E711-464C-8A49-CB913C47F211}"/>
    <hyperlink ref="A106" location="'Truth in Tax'!A1" display="Truth in Taxation Work Sheet" xr:uid="{ABDCB075-D9C2-4F97-8DE9-638984E28FFC}"/>
    <hyperlink ref="A107" location="'Truth in Tax'!A1" display="Truth in Taxation Work Sheet" xr:uid="{2C0F171F-9A03-411B-A8D2-8E76CFC904C8}"/>
    <hyperlink ref="A109" location="'Fund balances'!A1" display="Fund balances" xr:uid="{BF4332A9-8A83-40C7-B40C-F6836EE73449}"/>
    <hyperlink ref="A111" location="'Fund balances'!A1" display="Fund balances" xr:uid="{8AE290B1-5A1A-4D3B-90C1-9A68BE2B85BB}"/>
    <hyperlink ref="A112" location="'Fund balances'!A1" display="Fund balances" xr:uid="{CB19D3CF-E33E-4309-AD24-48BA6223358C}"/>
    <hyperlink ref="A113" location="'Fund balances'!A1" display="Fund balances" xr:uid="{760428E2-412C-4970-898F-F181CDAC3F17}"/>
    <hyperlink ref="A114" location="'Fund balances'!A1" display="Fund balances" xr:uid="{0BA53B21-2ABD-4CF6-B8EC-6C372F62EDB0}"/>
    <hyperlink ref="A115" location="'Fund balances'!A1" display="Fund balances" xr:uid="{8F6BB5EA-57CE-4B59-B765-4B7225CB46E4}"/>
    <hyperlink ref="A116" location="'Fund balances'!A1" display="Fund balances" xr:uid="{83DA739B-9234-477E-A38F-6FEE997D6B06}"/>
    <hyperlink ref="A117" location="'Fund balances'!A1" display="Fund balances" xr:uid="{21548312-D3D9-4D6A-90D0-3B7E84AFB50B}"/>
    <hyperlink ref="A118" location="'Fund balances'!A1" display="Fund balances" xr:uid="{05647EB7-F5D0-4A95-BDA2-95CF91E368E4}"/>
    <hyperlink ref="A119" location="'Fund balances'!A1" display="Fund balances" xr:uid="{E11BC05E-4863-498B-AD10-7C2F0B62EFAA}"/>
    <hyperlink ref="A120" location="'Fund balances'!A1" display="Fund balances" xr:uid="{CE96FB37-0478-40C4-8D1F-3A62B18C32A3}"/>
    <hyperlink ref="A121" location="'Fund balances'!A1" display="Fund balances" xr:uid="{0BDA6B4D-FFF9-49CF-B273-A3359BE8CF6D}"/>
    <hyperlink ref="A122" location="'Fund balances'!A1" display="Fund balances" xr:uid="{EB9B1814-DFEC-4CEC-8B7C-954109F6A7C8}"/>
    <hyperlink ref="A183" location="'BSA55'!A1" display="BSA55" xr:uid="{9501DC77-ABBA-4B3A-8E05-04E9E97B3B0C}"/>
    <hyperlink ref="A184" location="'BSA55'!A1" display="BSA55" xr:uid="{7C8DC1BB-952A-49CE-9DEE-160480B4EACC}"/>
    <hyperlink ref="A124" location="'Data Entry'!A1" display="Data Entry" xr:uid="{80F9302F-92E1-4FE9-9146-A0F2330B7681}"/>
    <hyperlink ref="A125:A129" location="'Data Entry'!A1" display="Data Entry" xr:uid="{E221087C-BCB6-429D-9854-27A57CFFDC5C}"/>
    <hyperlink ref="A130:A132" location="'Data Entry'!A1" display="Data Entry" xr:uid="{E076C9BD-FD39-43C7-9F7E-3471050B6112}"/>
    <hyperlink ref="A134" location="'Data Entry'!A1" display="Data Entry" xr:uid="{A573C937-064E-4DE3-87FF-368424D7EC76}"/>
    <hyperlink ref="A135:A143" location="'Data Entry'!A1" display="Data Entry" xr:uid="{D159419C-5879-4A54-BF44-15C78E78B103}"/>
    <hyperlink ref="A144" location="'Data Entry'!A1" display="Data Entry" xr:uid="{A7B8EE82-4B8D-4B82-A50E-7AE0955455CC}"/>
    <hyperlink ref="A145:A146" location="'Data Entry'!A1" display="Data Entry" xr:uid="{B7AAAA65-4672-41EB-A78D-A4816C79A879}"/>
    <hyperlink ref="A147" location="'Data Entry'!A1" display="Data Entry" xr:uid="{F3113214-37F7-4844-8260-7E5ACC862F6B}"/>
    <hyperlink ref="A148" location="'Data Entry'!A1" display="Data Entry" xr:uid="{EF92E535-F922-4F57-AE6C-3FB2C270A0AA}"/>
    <hyperlink ref="A150" location="'Data Entry'!A1" display="Data Entry" xr:uid="{BEDC9A12-C9E9-443C-BC3A-06C5F20D753A}"/>
    <hyperlink ref="A151" location="'Data Entry'!A1" display="Data Entry" xr:uid="{4536FD28-293A-41A5-A0F4-6E8ADEC63C5B}"/>
    <hyperlink ref="A153" location="'Data Entry'!A1" display="Data Entry" xr:uid="{DF4AD0FC-6667-43FE-AD50-4B3BAC33F110}"/>
    <hyperlink ref="A154:A155" location="'Data Entry'!A1" display="Data Entry" xr:uid="{5AA756B9-2E54-425C-88A5-164B41FB8C9F}"/>
    <hyperlink ref="A157" location="'Data Entry'!A1" display="Data Entry" xr:uid="{2E9B51A7-F803-4363-9A51-1777689760E6}"/>
    <hyperlink ref="A158:A159" location="'Data Entry'!A1" display="Data Entry" xr:uid="{0C604E57-33B5-4F43-A049-EFB1C024036E}"/>
    <hyperlink ref="A160" location="'Data Entry'!A1" display="Data Entry" xr:uid="{70323407-0F78-4913-A67F-D8BC28E3973A}"/>
    <hyperlink ref="A161" location="'Data Entry'!A1" display="Data Entry" xr:uid="{E2A9400A-B703-45D9-9219-38F240CE5D79}"/>
    <hyperlink ref="A162" location="'Data Entry'!A1" display="Data Entry" xr:uid="{F2CEDD5B-9B0C-484F-AE1F-F44F4C64B188}"/>
    <hyperlink ref="A163" location="'Data Entry'!A1" display="Data Entry" xr:uid="{A5C977FB-0660-42BF-804E-E25783C2721E}"/>
    <hyperlink ref="A165" location="'Data Entry'!A1" display="Data Entry" xr:uid="{091FB9E3-A366-4C92-8385-3275F03B1E59}"/>
    <hyperlink ref="A167" location="'Data Entry'!A1" display="Data Entry" xr:uid="{E2713A83-BD10-447F-8F6D-80AD53F43D64}"/>
    <hyperlink ref="A168:A169" location="'Data Entry'!A1" display="Data Entry" xr:uid="{E63F2188-CB6D-4CD2-81B7-777EA1CA2EFD}"/>
    <hyperlink ref="A170" location="'Data Entry'!A1" display="Data Entry" xr:uid="{3E0488EF-52E1-4E37-8D30-71F139E44EEC}"/>
    <hyperlink ref="A171:A172" location="'Data Entry'!A1" display="Data Entry" xr:uid="{38021CA5-731E-4361-B25D-C2C5B305EFBF}"/>
    <hyperlink ref="A173" location="'Data Entry'!A1" display="Data Entry" xr:uid="{938BCFCA-1F5F-429C-8357-7CFA1DFA0B59}"/>
    <hyperlink ref="A174:A175" location="'Data Entry'!A1" display="Data Entry" xr:uid="{02A4DB48-1CB0-4DC4-AF9B-02E6C759EDB2}"/>
    <hyperlink ref="A176" location="'Data Entry'!A1" display="Data Entry" xr:uid="{96121F2E-BC0D-417B-83E6-95B8F41DD0DF}"/>
    <hyperlink ref="A177" location="'Data Entry'!A1" display="Data Entry" xr:uid="{D5E45EF5-8CC0-4B57-AA41-B4EB15160AAC}"/>
    <hyperlink ref="A179" location="'Data Entry'!A1" display="Data Entry" xr:uid="{3FD612DC-986C-4505-B050-3FDABDDE6B4E}"/>
    <hyperlink ref="A180" location="'Data Entry'!A1" display="Data Entry" xr:uid="{A1C7E5E6-FC63-4868-BE22-CFC88D62A987}"/>
    <hyperlink ref="A110" location="'Fund balances'!A1" display="Fund balances" xr:uid="{5400F26B-19A9-47D4-AF4F-9BCEA12795D7}"/>
    <hyperlink ref="C81" r:id="rId17" xr:uid="{757FBB4F-675D-41A5-BE06-7E221DED6566}"/>
    <hyperlink ref="C80" r:id="rId18" xr:uid="{AF253022-BE3C-452B-BD88-D92FAD677568}"/>
    <hyperlink ref="A79" location="'Page 7'!A1" display="'Page 7'!A1" xr:uid="{22824A00-C31C-496F-B2A0-0F825542A3E3}"/>
    <hyperlink ref="A82" location="'Page 7'!A1" display="'Page 7'!A1" xr:uid="{FFB5EEFB-BE7A-43E2-9BAA-1EBF03408A1C}"/>
    <hyperlink ref="A83" location="'Page 7'!A1" display="'Page 7'!A1" xr:uid="{5C59CA4C-3840-4C34-B2C8-E30E6337D77D}"/>
    <hyperlink ref="C55" r:id="rId19" xr:uid="{78B8A976-1BBD-4E21-BD02-B7941EE4CA23}"/>
    <hyperlink ref="C65" r:id="rId20" xr:uid="{3755FE92-ED9A-44D5-8588-114817DC3DBE}"/>
    <hyperlink ref="C67" r:id="rId21" xr:uid="{96199512-4A36-49EA-A496-E5B9BE1DEE94}"/>
  </hyperlinks>
  <printOptions horizontalCentered="1"/>
  <pageMargins left="0.25" right="0.25" top="0.25" bottom="0.25" header="0" footer="0.15"/>
  <pageSetup paperSize="5" scale="63" fitToHeight="0" orientation="portrait" r:id="rId22"/>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91" max="3" man="1"/>
    <brk id="102" max="3" man="1"/>
    <brk id="118" max="3" man="1"/>
    <brk id="128" max="3" man="1"/>
    <brk id="171" max="3" man="1"/>
  </rowBreaks>
  <customProperties>
    <customPr name="OrphanNamesChecked" r:id="rId2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topLeftCell="A4" zoomScaleNormal="100" zoomScaleSheetLayoutView="115" workbookViewId="0">
      <selection activeCell="F27" sqref="F27"/>
    </sheetView>
  </sheetViews>
  <sheetFormatPr defaultColWidth="9.81640625" defaultRowHeight="15.6"/>
  <cols>
    <col min="1" max="1" width="16.81640625" style="97" customWidth="1"/>
    <col min="2" max="2" width="19.81640625" style="97" customWidth="1"/>
    <col min="3" max="3" width="3.81640625" style="97" customWidth="1"/>
    <col min="4" max="5" width="5.81640625" style="97" customWidth="1"/>
    <col min="6" max="12" width="11.81640625" style="97" customWidth="1"/>
    <col min="13" max="13" width="6.81640625" style="97" customWidth="1"/>
    <col min="14" max="14" width="3.81640625" style="158" customWidth="1"/>
    <col min="15" max="20" width="9.81640625" style="97" customWidth="1"/>
    <col min="21" max="16384" width="9.81640625" style="97"/>
  </cols>
  <sheetData>
    <row r="1" spans="1:15">
      <c r="A1" s="1262" t="s">
        <v>56</v>
      </c>
      <c r="B1" s="1595" t="str">
        <f>DistrictName</f>
        <v>Mary C O'Brien Accommodation District</v>
      </c>
      <c r="C1" s="1596"/>
      <c r="D1" s="1596"/>
      <c r="E1" s="1596"/>
      <c r="F1" s="1262" t="s">
        <v>1</v>
      </c>
      <c r="G1" s="1261" t="str">
        <f>Cover!H1</f>
        <v>Pinal</v>
      </c>
      <c r="H1"/>
      <c r="I1" s="1262" t="s">
        <v>57</v>
      </c>
      <c r="J1" s="1276" t="str">
        <f>CTD</f>
        <v>110100000</v>
      </c>
      <c r="K1" s="148"/>
      <c r="L1" s="1262" t="s">
        <v>16</v>
      </c>
      <c r="M1" s="1593" t="str">
        <f>Cover!C8</f>
        <v>Proposed</v>
      </c>
      <c r="N1" s="1594"/>
      <c r="O1" s="138"/>
    </row>
    <row r="2" spans="1:15" ht="16.5" customHeight="1">
      <c r="A2" s="156" t="s">
        <v>75</v>
      </c>
      <c r="B2" s="156"/>
      <c r="C2" s="156"/>
      <c r="D2" s="1119" t="s">
        <v>76</v>
      </c>
      <c r="E2" s="1119"/>
      <c r="F2" s="1120"/>
      <c r="G2" s="1120"/>
      <c r="H2" s="1120"/>
      <c r="I2" s="1120"/>
      <c r="J2" s="1120"/>
      <c r="K2" s="1120"/>
      <c r="L2" s="1120"/>
      <c r="M2" s="157"/>
    </row>
    <row r="3" spans="1:15" ht="12" customHeight="1">
      <c r="A3" s="159"/>
      <c r="B3" s="96"/>
      <c r="C3" s="96"/>
      <c r="D3" s="160"/>
      <c r="E3" s="103"/>
      <c r="F3" s="161"/>
      <c r="G3" s="161" t="s">
        <v>77</v>
      </c>
      <c r="H3" s="161" t="s">
        <v>78</v>
      </c>
      <c r="I3" s="161"/>
      <c r="J3" s="161"/>
      <c r="K3" s="162" t="s">
        <v>79</v>
      </c>
      <c r="L3" s="162"/>
      <c r="M3" s="163"/>
    </row>
    <row r="4" spans="1:15" ht="12" customHeight="1">
      <c r="A4" s="1468" t="s">
        <v>682</v>
      </c>
      <c r="C4" s="96"/>
      <c r="D4" s="164" t="s">
        <v>80</v>
      </c>
      <c r="E4" s="162"/>
      <c r="F4" s="161" t="s">
        <v>81</v>
      </c>
      <c r="G4" s="161" t="s">
        <v>307</v>
      </c>
      <c r="H4" s="161" t="s">
        <v>308</v>
      </c>
      <c r="I4" s="161" t="s">
        <v>82</v>
      </c>
      <c r="J4" s="161" t="s">
        <v>83</v>
      </c>
      <c r="K4" s="4" t="s">
        <v>84</v>
      </c>
      <c r="L4" s="165" t="s">
        <v>85</v>
      </c>
      <c r="M4" s="161" t="s">
        <v>86</v>
      </c>
    </row>
    <row r="5" spans="1:15" ht="12" customHeight="1">
      <c r="A5" s="1292" t="s">
        <v>87</v>
      </c>
      <c r="C5" s="96"/>
      <c r="D5" s="161" t="s">
        <v>84</v>
      </c>
      <c r="E5" s="4" t="s">
        <v>85</v>
      </c>
      <c r="F5" s="166"/>
      <c r="G5" s="166"/>
      <c r="H5" s="161" t="s">
        <v>88</v>
      </c>
      <c r="I5" s="161"/>
      <c r="J5" s="161"/>
      <c r="K5" s="4" t="s">
        <v>3</v>
      </c>
      <c r="L5" s="165" t="s">
        <v>3</v>
      </c>
      <c r="M5" s="161" t="s">
        <v>89</v>
      </c>
    </row>
    <row r="6" spans="1:15" ht="12" customHeight="1">
      <c r="A6" s="167"/>
      <c r="B6" s="168"/>
      <c r="C6" s="169"/>
      <c r="D6" s="161" t="s">
        <v>3</v>
      </c>
      <c r="E6" s="171" t="s">
        <v>3</v>
      </c>
      <c r="F6" s="170" t="s">
        <v>90</v>
      </c>
      <c r="G6" s="170" t="s">
        <v>91</v>
      </c>
      <c r="H6" s="170" t="s">
        <v>92</v>
      </c>
      <c r="I6" s="170">
        <v>6600</v>
      </c>
      <c r="J6" s="170" t="s">
        <v>93</v>
      </c>
      <c r="K6" s="1350">
        <f>PriorFiscalYear</f>
        <v>2026</v>
      </c>
      <c r="L6" s="165">
        <f>Cover!E3</f>
        <v>2027</v>
      </c>
      <c r="M6" s="161" t="s">
        <v>94</v>
      </c>
    </row>
    <row r="7" spans="1:15" ht="11.25" customHeight="1">
      <c r="A7" s="1492" t="s">
        <v>95</v>
      </c>
      <c r="B7" s="96"/>
      <c r="C7" s="96"/>
      <c r="D7" s="1086"/>
      <c r="E7" s="1085"/>
      <c r="F7" s="325"/>
      <c r="G7" s="325"/>
      <c r="H7" s="325"/>
      <c r="I7" s="325"/>
      <c r="J7" s="325"/>
      <c r="K7" s="1517"/>
      <c r="L7" s="1517"/>
      <c r="M7" s="1086"/>
      <c r="N7" s="1"/>
    </row>
    <row r="8" spans="1:15" ht="11.25" customHeight="1">
      <c r="A8" s="101" t="s">
        <v>96</v>
      </c>
      <c r="B8" s="96"/>
      <c r="C8" s="175" t="s">
        <v>6</v>
      </c>
      <c r="D8" s="1151">
        <f>[1]!F001P100F1000Personnel</f>
        <v>26.15</v>
      </c>
      <c r="E8" s="1152">
        <v>26.15</v>
      </c>
      <c r="F8" s="12">
        <v>1712916</v>
      </c>
      <c r="G8" s="12">
        <v>700847</v>
      </c>
      <c r="H8" s="12">
        <v>170000</v>
      </c>
      <c r="I8" s="12">
        <v>65000</v>
      </c>
      <c r="J8" s="12">
        <v>3000</v>
      </c>
      <c r="K8" s="1168">
        <f>[1]!F001P100F1000</f>
        <v>2651763</v>
      </c>
      <c r="L8" s="1168">
        <f>SUM(F8:J8)</f>
        <v>2651763</v>
      </c>
      <c r="M8" s="1154">
        <f>IF(K8=L8,0,IF(K8&gt;0,(L8-K8)/K8,""))</f>
        <v>0</v>
      </c>
      <c r="N8" s="177" t="s">
        <v>6</v>
      </c>
    </row>
    <row r="9" spans="1:15" ht="13.5" customHeight="1">
      <c r="A9" s="101" t="s">
        <v>951</v>
      </c>
      <c r="B9" s="96"/>
      <c r="C9" s="175" t="s">
        <v>42</v>
      </c>
      <c r="D9" s="1086"/>
      <c r="E9" s="1085"/>
      <c r="F9" s="325"/>
      <c r="G9" s="325"/>
      <c r="H9" s="325"/>
      <c r="I9" s="325"/>
      <c r="J9" s="325"/>
      <c r="K9" s="1517"/>
      <c r="L9" s="1517"/>
      <c r="M9" s="1086"/>
      <c r="N9" s="177" t="s">
        <v>42</v>
      </c>
    </row>
    <row r="10" spans="1:15" ht="11.25" customHeight="1">
      <c r="A10" s="101" t="s">
        <v>97</v>
      </c>
      <c r="B10" s="96"/>
      <c r="C10" s="175" t="s">
        <v>8</v>
      </c>
      <c r="D10" s="1151">
        <f>[1]!F001P100F2100Personnel</f>
        <v>6</v>
      </c>
      <c r="E10" s="1152">
        <v>6</v>
      </c>
      <c r="F10" s="12">
        <v>269674</v>
      </c>
      <c r="G10" s="12">
        <v>105529</v>
      </c>
      <c r="H10" s="12">
        <v>6500</v>
      </c>
      <c r="I10" s="12">
        <v>10000</v>
      </c>
      <c r="J10" s="12">
        <v>25000</v>
      </c>
      <c r="K10" s="1168">
        <f>[1]!F001P100F2100</f>
        <v>416703</v>
      </c>
      <c r="L10" s="1168">
        <f>SUM(F10:J10)</f>
        <v>416703</v>
      </c>
      <c r="M10" s="1154">
        <f>IF(K10=L10,0,IF(K10&gt;0,(L10-K10)/K10,""))</f>
        <v>0</v>
      </c>
      <c r="N10" s="177" t="s">
        <v>8</v>
      </c>
    </row>
    <row r="11" spans="1:15" ht="11.25" customHeight="1">
      <c r="A11" s="101" t="s">
        <v>952</v>
      </c>
      <c r="B11" s="96"/>
      <c r="C11" s="175" t="s">
        <v>22</v>
      </c>
      <c r="D11" s="1155">
        <f>[1]!F001P100F2200Personnel</f>
        <v>0</v>
      </c>
      <c r="E11" s="1156">
        <v>0</v>
      </c>
      <c r="F11" s="11">
        <v>0</v>
      </c>
      <c r="G11" s="11">
        <v>1000</v>
      </c>
      <c r="H11" s="11">
        <v>45000</v>
      </c>
      <c r="I11" s="11">
        <v>17000</v>
      </c>
      <c r="J11" s="11">
        <v>4000</v>
      </c>
      <c r="K11" s="331">
        <f>[1]!F001P100F2200</f>
        <v>67000</v>
      </c>
      <c r="L11" s="1518">
        <f t="shared" ref="L11:L21" si="0">SUM(F11:J11)</f>
        <v>67000</v>
      </c>
      <c r="M11" s="1158">
        <f t="shared" ref="M11:M22" si="1">IF(K11=L11,0,IF(K11&gt;0,(L11-K11)/K11,""))</f>
        <v>0</v>
      </c>
      <c r="N11" s="177" t="s">
        <v>22</v>
      </c>
    </row>
    <row r="12" spans="1:15" ht="11.25" customHeight="1">
      <c r="A12" s="101" t="s">
        <v>953</v>
      </c>
      <c r="B12" s="96"/>
      <c r="C12" s="180" t="s">
        <v>40</v>
      </c>
      <c r="D12" s="1155">
        <f>[1]!F001P100F2300Personnel</f>
        <v>2</v>
      </c>
      <c r="E12" s="1156">
        <v>2</v>
      </c>
      <c r="F12" s="11">
        <v>169917</v>
      </c>
      <c r="G12" s="11">
        <v>60186</v>
      </c>
      <c r="H12" s="11">
        <v>5000</v>
      </c>
      <c r="I12" s="11">
        <v>2500</v>
      </c>
      <c r="J12" s="11">
        <v>10000</v>
      </c>
      <c r="K12" s="403">
        <f>[1]!F001P100F2300</f>
        <v>247603</v>
      </c>
      <c r="L12" s="325">
        <f t="shared" si="0"/>
        <v>247603</v>
      </c>
      <c r="M12" s="1160">
        <f t="shared" si="1"/>
        <v>0</v>
      </c>
      <c r="N12" s="177" t="s">
        <v>40</v>
      </c>
    </row>
    <row r="13" spans="1:15" ht="11.25" customHeight="1">
      <c r="A13" s="101" t="s">
        <v>954</v>
      </c>
      <c r="B13" s="96"/>
      <c r="C13" s="175" t="s">
        <v>98</v>
      </c>
      <c r="D13" s="1155">
        <f>[1]!F001P100F2400Personnel</f>
        <v>4</v>
      </c>
      <c r="E13" s="1156">
        <v>4</v>
      </c>
      <c r="F13" s="11">
        <v>176384</v>
      </c>
      <c r="G13" s="11">
        <v>64301</v>
      </c>
      <c r="H13" s="11">
        <v>50000</v>
      </c>
      <c r="I13" s="11">
        <v>10000</v>
      </c>
      <c r="J13" s="11">
        <v>3000</v>
      </c>
      <c r="K13" s="403">
        <f>[1]!F001P100F2400</f>
        <v>303685</v>
      </c>
      <c r="L13" s="325">
        <f t="shared" si="0"/>
        <v>303685</v>
      </c>
      <c r="M13" s="1160">
        <f t="shared" si="1"/>
        <v>0</v>
      </c>
      <c r="N13" s="177" t="s">
        <v>98</v>
      </c>
    </row>
    <row r="14" spans="1:15" ht="11.25" customHeight="1">
      <c r="A14" s="101" t="s">
        <v>955</v>
      </c>
      <c r="B14" s="96"/>
      <c r="C14" s="175" t="s">
        <v>99</v>
      </c>
      <c r="D14" s="1155">
        <f>[1]!F001P100F2500Personnel</f>
        <v>4</v>
      </c>
      <c r="E14" s="1156">
        <v>4</v>
      </c>
      <c r="F14" s="11">
        <v>222648</v>
      </c>
      <c r="G14" s="11">
        <v>85868</v>
      </c>
      <c r="H14" s="11">
        <v>85000</v>
      </c>
      <c r="I14" s="11">
        <v>7500</v>
      </c>
      <c r="J14" s="11">
        <v>12500</v>
      </c>
      <c r="K14" s="403">
        <f>[1]!F001P100F2500</f>
        <v>413516</v>
      </c>
      <c r="L14" s="325">
        <f t="shared" si="0"/>
        <v>413516</v>
      </c>
      <c r="M14" s="1160">
        <f t="shared" si="1"/>
        <v>0</v>
      </c>
      <c r="N14" s="177" t="s">
        <v>99</v>
      </c>
    </row>
    <row r="15" spans="1:15" ht="11.25" customHeight="1">
      <c r="A15" s="101" t="s">
        <v>956</v>
      </c>
      <c r="B15" s="96"/>
      <c r="C15" s="175" t="s">
        <v>100</v>
      </c>
      <c r="D15" s="1155">
        <f>[1]!F001P100F2600Personnel</f>
        <v>9</v>
      </c>
      <c r="E15" s="1156">
        <v>9</v>
      </c>
      <c r="F15" s="11">
        <v>358236</v>
      </c>
      <c r="G15" s="11">
        <v>147258</v>
      </c>
      <c r="H15" s="11">
        <v>500000</v>
      </c>
      <c r="I15" s="11">
        <v>350000</v>
      </c>
      <c r="J15" s="11">
        <v>3000</v>
      </c>
      <c r="K15" s="403">
        <f>[1]!F001P100F2600</f>
        <v>1358494</v>
      </c>
      <c r="L15" s="325">
        <f t="shared" si="0"/>
        <v>1358494</v>
      </c>
      <c r="M15" s="1160">
        <f t="shared" si="1"/>
        <v>0</v>
      </c>
      <c r="N15" s="177" t="s">
        <v>100</v>
      </c>
    </row>
    <row r="16" spans="1:15" ht="11.25" customHeight="1">
      <c r="A16" s="101" t="s">
        <v>101</v>
      </c>
      <c r="B16" s="96"/>
      <c r="C16" s="175" t="s">
        <v>102</v>
      </c>
      <c r="D16" s="1155">
        <f>[1]!F001P100F2900Personnel</f>
        <v>0</v>
      </c>
      <c r="E16" s="1156">
        <v>0</v>
      </c>
      <c r="F16" s="11">
        <v>0</v>
      </c>
      <c r="G16" s="11">
        <v>0</v>
      </c>
      <c r="H16" s="11">
        <v>0</v>
      </c>
      <c r="I16" s="11">
        <v>0</v>
      </c>
      <c r="J16" s="11">
        <v>0</v>
      </c>
      <c r="K16" s="403">
        <f>[1]!F001P100F2900</f>
        <v>0</v>
      </c>
      <c r="L16" s="325">
        <f t="shared" si="0"/>
        <v>0</v>
      </c>
      <c r="M16" s="1160">
        <f t="shared" si="1"/>
        <v>0</v>
      </c>
      <c r="N16" s="177" t="s">
        <v>102</v>
      </c>
    </row>
    <row r="17" spans="1:14" ht="11.25" customHeight="1">
      <c r="A17" s="101" t="s">
        <v>957</v>
      </c>
      <c r="B17" s="96"/>
      <c r="C17" s="180" t="s">
        <v>103</v>
      </c>
      <c r="D17" s="1155">
        <f>[1]!F001P100F3000Personnel</f>
        <v>2.5</v>
      </c>
      <c r="E17" s="1156">
        <v>2.5</v>
      </c>
      <c r="F17" s="11">
        <v>92048</v>
      </c>
      <c r="G17" s="11">
        <v>34452</v>
      </c>
      <c r="H17" s="11">
        <v>1500</v>
      </c>
      <c r="I17" s="11">
        <v>15000</v>
      </c>
      <c r="J17" s="11">
        <v>2000</v>
      </c>
      <c r="K17" s="403">
        <f>[1]!F001P100F3000</f>
        <v>192357</v>
      </c>
      <c r="L17" s="325">
        <f t="shared" si="0"/>
        <v>145000</v>
      </c>
      <c r="M17" s="1160">
        <f t="shared" si="1"/>
        <v>-0.246</v>
      </c>
      <c r="N17" s="177" t="s">
        <v>103</v>
      </c>
    </row>
    <row r="18" spans="1:14" ht="11.25" customHeight="1">
      <c r="A18" s="1492" t="s">
        <v>1048</v>
      </c>
      <c r="B18" s="96"/>
      <c r="C18" s="181" t="s">
        <v>104</v>
      </c>
      <c r="D18" s="1155">
        <f>[1]!F001P610Personnel</f>
        <v>0</v>
      </c>
      <c r="E18" s="1156">
        <v>0</v>
      </c>
      <c r="F18" s="12">
        <v>0</v>
      </c>
      <c r="G18" s="12">
        <v>0</v>
      </c>
      <c r="H18" s="12">
        <v>0</v>
      </c>
      <c r="I18" s="12">
        <v>0</v>
      </c>
      <c r="J18" s="12">
        <v>0</v>
      </c>
      <c r="K18" s="331">
        <f>[1]!F001P610</f>
        <v>0</v>
      </c>
      <c r="L18" s="325">
        <f t="shared" si="0"/>
        <v>0</v>
      </c>
      <c r="M18" s="1158">
        <f t="shared" si="1"/>
        <v>0</v>
      </c>
      <c r="N18" s="177" t="s">
        <v>104</v>
      </c>
    </row>
    <row r="19" spans="1:14" ht="11.25" customHeight="1">
      <c r="A19" s="1492" t="s">
        <v>1017</v>
      </c>
      <c r="B19" s="96"/>
      <c r="C19" s="182" t="s">
        <v>105</v>
      </c>
      <c r="D19" s="1155">
        <f>[1]!F001P620Personnel</f>
        <v>0</v>
      </c>
      <c r="E19" s="1156">
        <v>0</v>
      </c>
      <c r="F19" s="12">
        <v>0</v>
      </c>
      <c r="G19" s="12">
        <v>0</v>
      </c>
      <c r="H19" s="12">
        <v>0</v>
      </c>
      <c r="I19" s="12">
        <v>0</v>
      </c>
      <c r="J19" s="12">
        <v>0</v>
      </c>
      <c r="K19" s="331">
        <f>[1]!F001P620</f>
        <v>0</v>
      </c>
      <c r="L19" s="325">
        <f t="shared" si="0"/>
        <v>0</v>
      </c>
      <c r="M19" s="1158">
        <f t="shared" si="1"/>
        <v>0</v>
      </c>
      <c r="N19" s="177" t="s">
        <v>105</v>
      </c>
    </row>
    <row r="20" spans="1:14" ht="11.25" customHeight="1">
      <c r="A20" s="1492" t="s">
        <v>958</v>
      </c>
      <c r="B20" s="96"/>
      <c r="C20" s="183" t="s">
        <v>106</v>
      </c>
      <c r="D20" s="1155">
        <f>[1]!F001P630Personnel</f>
        <v>0</v>
      </c>
      <c r="E20" s="1156">
        <v>0</v>
      </c>
      <c r="F20" s="87">
        <v>0</v>
      </c>
      <c r="G20" s="12">
        <v>0</v>
      </c>
      <c r="H20" s="12">
        <v>0</v>
      </c>
      <c r="I20" s="12">
        <v>0</v>
      </c>
      <c r="J20" s="12">
        <v>0</v>
      </c>
      <c r="K20" s="331">
        <f>[1]!F001P630</f>
        <v>0</v>
      </c>
      <c r="L20" s="325">
        <f t="shared" si="0"/>
        <v>0</v>
      </c>
      <c r="M20" s="1158">
        <f t="shared" si="1"/>
        <v>0</v>
      </c>
      <c r="N20" s="184" t="s">
        <v>106</v>
      </c>
    </row>
    <row r="21" spans="1:14" ht="11.25" customHeight="1">
      <c r="A21" s="1493" t="s">
        <v>959</v>
      </c>
      <c r="B21" s="1301"/>
      <c r="C21" s="185" t="s">
        <v>107</v>
      </c>
      <c r="D21" s="186">
        <f>[1]!F001P700800900Personnel</f>
        <v>0</v>
      </c>
      <c r="E21" s="13">
        <v>0</v>
      </c>
      <c r="F21" s="11">
        <v>0</v>
      </c>
      <c r="G21" s="12">
        <v>0</v>
      </c>
      <c r="H21" s="12">
        <v>0</v>
      </c>
      <c r="I21" s="12">
        <v>0</v>
      </c>
      <c r="J21" s="12">
        <v>0</v>
      </c>
      <c r="K21" s="403">
        <f>[1]!F001P700800900</f>
        <v>0</v>
      </c>
      <c r="L21" s="325">
        <f t="shared" si="0"/>
        <v>0</v>
      </c>
      <c r="M21" s="1160">
        <f t="shared" si="1"/>
        <v>0</v>
      </c>
      <c r="N21" s="177" t="s">
        <v>107</v>
      </c>
    </row>
    <row r="22" spans="1:14" ht="11.25" customHeight="1">
      <c r="A22" s="187" t="s">
        <v>960</v>
      </c>
      <c r="B22" s="169"/>
      <c r="C22" s="188" t="s">
        <v>108</v>
      </c>
      <c r="D22" s="1161">
        <f>SUM(D8:D21)</f>
        <v>53.65</v>
      </c>
      <c r="E22" s="186">
        <f t="shared" ref="E22:J22" si="2">E8+SUM(E10:E21)</f>
        <v>53.65</v>
      </c>
      <c r="F22" s="320">
        <f t="shared" si="2"/>
        <v>3001823</v>
      </c>
      <c r="G22" s="320">
        <f t="shared" si="2"/>
        <v>1199441</v>
      </c>
      <c r="H22" s="320">
        <f t="shared" si="2"/>
        <v>863000</v>
      </c>
      <c r="I22" s="320">
        <f t="shared" si="2"/>
        <v>477000</v>
      </c>
      <c r="J22" s="320">
        <f t="shared" si="2"/>
        <v>62500</v>
      </c>
      <c r="K22" s="321">
        <f>SUM(K8:K21)</f>
        <v>5651121</v>
      </c>
      <c r="L22" s="321">
        <f>SUM(L8:L21)</f>
        <v>5603764</v>
      </c>
      <c r="M22" s="1163">
        <f t="shared" si="1"/>
        <v>-8.0000000000000002E-3</v>
      </c>
      <c r="N22" s="177" t="s">
        <v>108</v>
      </c>
    </row>
    <row r="23" spans="1:14" ht="11.25" customHeight="1">
      <c r="A23" s="1494" t="s">
        <v>961</v>
      </c>
      <c r="B23" s="96"/>
      <c r="C23" s="175"/>
      <c r="D23" s="1086"/>
      <c r="E23" s="1085"/>
      <c r="F23" s="325"/>
      <c r="G23" s="325"/>
      <c r="H23" s="325"/>
      <c r="I23" s="325"/>
      <c r="J23" s="325"/>
      <c r="K23" s="1517"/>
      <c r="L23" s="1517"/>
      <c r="M23" s="1086"/>
      <c r="N23" s="177"/>
    </row>
    <row r="24" spans="1:14" ht="11.25" customHeight="1">
      <c r="A24" s="101" t="s">
        <v>96</v>
      </c>
      <c r="B24" s="96"/>
      <c r="C24" s="191" t="s">
        <v>109</v>
      </c>
      <c r="D24" s="1151">
        <f>[1]!F001P200F1000Personnel</f>
        <v>3.5</v>
      </c>
      <c r="E24" s="1152">
        <v>3.5</v>
      </c>
      <c r="F24" s="12">
        <v>187822</v>
      </c>
      <c r="G24" s="12">
        <v>78586</v>
      </c>
      <c r="H24" s="12">
        <v>8000</v>
      </c>
      <c r="I24" s="12">
        <v>1500</v>
      </c>
      <c r="J24" s="12">
        <v>1000</v>
      </c>
      <c r="K24" s="1168">
        <f>[1]!F001P200F1000</f>
        <v>276908</v>
      </c>
      <c r="L24" s="1168">
        <f>SUM(F24:J24)</f>
        <v>276908</v>
      </c>
      <c r="M24" s="1154">
        <f>IF(K24=L24,0,IF(K24&gt;0,(L24-K24)/K24,""))</f>
        <v>0</v>
      </c>
      <c r="N24" s="177" t="s">
        <v>109</v>
      </c>
    </row>
    <row r="25" spans="1:14" ht="11.25" customHeight="1">
      <c r="A25" s="101" t="s">
        <v>951</v>
      </c>
      <c r="B25" s="96"/>
      <c r="C25" s="175"/>
      <c r="D25" s="1086"/>
      <c r="E25" s="1085"/>
      <c r="F25" s="325"/>
      <c r="G25" s="325"/>
      <c r="H25" s="325"/>
      <c r="I25" s="325"/>
      <c r="J25" s="325"/>
      <c r="K25" s="1517"/>
      <c r="L25" s="1517"/>
      <c r="M25" s="1086"/>
      <c r="N25" s="177" t="s">
        <v>42</v>
      </c>
    </row>
    <row r="26" spans="1:14" ht="11.25" customHeight="1">
      <c r="A26" s="101" t="s">
        <v>97</v>
      </c>
      <c r="B26" s="96"/>
      <c r="C26" s="175" t="s">
        <v>110</v>
      </c>
      <c r="D26" s="1151">
        <f>[1]!F001P200F2100Personnel</f>
        <v>2</v>
      </c>
      <c r="E26" s="1152">
        <v>2</v>
      </c>
      <c r="F26" s="12">
        <v>80000</v>
      </c>
      <c r="G26" s="12">
        <v>32000</v>
      </c>
      <c r="H26" s="12">
        <v>15000</v>
      </c>
      <c r="I26" s="12">
        <v>1500</v>
      </c>
      <c r="J26" s="12">
        <v>1000</v>
      </c>
      <c r="K26" s="1168">
        <f>[1]!F001P200F2100</f>
        <v>280961</v>
      </c>
      <c r="L26" s="1168">
        <f>SUM(F26:J26)</f>
        <v>129500</v>
      </c>
      <c r="M26" s="1154">
        <f>IF(K26=L26,0,IF(K26&gt;0,(L26-K26)/K26,""))</f>
        <v>-0.53900000000000003</v>
      </c>
      <c r="N26" s="177" t="s">
        <v>110</v>
      </c>
    </row>
    <row r="27" spans="1:14" ht="11.25" customHeight="1">
      <c r="A27" s="101" t="s">
        <v>952</v>
      </c>
      <c r="B27" s="96"/>
      <c r="C27" s="175" t="s">
        <v>111</v>
      </c>
      <c r="D27" s="1155">
        <f>[1]!F001P200F2200Personnel</f>
        <v>0</v>
      </c>
      <c r="E27" s="1156">
        <v>0</v>
      </c>
      <c r="F27" s="11">
        <v>0</v>
      </c>
      <c r="G27" s="11">
        <v>0</v>
      </c>
      <c r="H27" s="11">
        <v>49487</v>
      </c>
      <c r="I27" s="11">
        <v>1500</v>
      </c>
      <c r="J27" s="11">
        <v>1000</v>
      </c>
      <c r="K27" s="331">
        <f>[1]!F001P200F2200</f>
        <v>51987</v>
      </c>
      <c r="L27" s="1518">
        <f t="shared" ref="L27:L33" si="3">SUM(F27:J27)</f>
        <v>51987</v>
      </c>
      <c r="M27" s="1158">
        <f t="shared" ref="M27:M34" si="4">IF(K27=L27,0,IF(K27&gt;0,(L27-K27)/K27,""))</f>
        <v>0</v>
      </c>
      <c r="N27" s="177" t="s">
        <v>111</v>
      </c>
    </row>
    <row r="28" spans="1:14" ht="11.25" customHeight="1">
      <c r="A28" s="101" t="s">
        <v>953</v>
      </c>
      <c r="B28" s="96"/>
      <c r="C28" s="175" t="s">
        <v>112</v>
      </c>
      <c r="D28" s="1155">
        <f>[1]!F001P200F2300Personnel</f>
        <v>0</v>
      </c>
      <c r="E28" s="1156">
        <v>0</v>
      </c>
      <c r="F28" s="11">
        <v>0</v>
      </c>
      <c r="G28" s="11">
        <v>0</v>
      </c>
      <c r="H28" s="11">
        <v>0</v>
      </c>
      <c r="I28" s="11">
        <v>0</v>
      </c>
      <c r="J28" s="11">
        <v>0</v>
      </c>
      <c r="K28" s="403">
        <f>[1]!F001P200F2300</f>
        <v>0</v>
      </c>
      <c r="L28" s="325">
        <f t="shared" si="3"/>
        <v>0</v>
      </c>
      <c r="M28" s="1160">
        <f t="shared" si="4"/>
        <v>0</v>
      </c>
      <c r="N28" s="177" t="s">
        <v>112</v>
      </c>
    </row>
    <row r="29" spans="1:14" ht="11.25" customHeight="1">
      <c r="A29" s="101" t="s">
        <v>954</v>
      </c>
      <c r="B29" s="96"/>
      <c r="C29" s="175" t="s">
        <v>113</v>
      </c>
      <c r="D29" s="1155">
        <f>[1]!F001P200F2400Personnel</f>
        <v>0</v>
      </c>
      <c r="E29" s="1156">
        <v>0</v>
      </c>
      <c r="F29" s="11">
        <v>0</v>
      </c>
      <c r="G29" s="11">
        <v>0</v>
      </c>
      <c r="H29" s="11">
        <v>0</v>
      </c>
      <c r="I29" s="11">
        <v>0</v>
      </c>
      <c r="J29" s="11">
        <v>0</v>
      </c>
      <c r="K29" s="403">
        <f>[1]!F001P200F2400</f>
        <v>0</v>
      </c>
      <c r="L29" s="325">
        <f t="shared" si="3"/>
        <v>0</v>
      </c>
      <c r="M29" s="1160">
        <f t="shared" si="4"/>
        <v>0</v>
      </c>
      <c r="N29" s="177" t="s">
        <v>113</v>
      </c>
    </row>
    <row r="30" spans="1:14" ht="11.25" customHeight="1">
      <c r="A30" s="101" t="s">
        <v>955</v>
      </c>
      <c r="B30" s="96"/>
      <c r="C30" s="175" t="s">
        <v>114</v>
      </c>
      <c r="D30" s="1155">
        <f>[1]!F001P200F2500Personnel</f>
        <v>0</v>
      </c>
      <c r="E30" s="1156">
        <v>0</v>
      </c>
      <c r="F30" s="11">
        <v>0</v>
      </c>
      <c r="G30" s="11">
        <v>0</v>
      </c>
      <c r="H30" s="11">
        <v>0</v>
      </c>
      <c r="I30" s="11">
        <v>0</v>
      </c>
      <c r="J30" s="11">
        <v>0</v>
      </c>
      <c r="K30" s="403">
        <f>[1]!F001P200F2500</f>
        <v>0</v>
      </c>
      <c r="L30" s="325">
        <f>SUM(F30:J30)</f>
        <v>0</v>
      </c>
      <c r="M30" s="1160">
        <f t="shared" si="4"/>
        <v>0</v>
      </c>
      <c r="N30" s="177" t="s">
        <v>114</v>
      </c>
    </row>
    <row r="31" spans="1:14" ht="11.25" customHeight="1">
      <c r="A31" s="101" t="s">
        <v>956</v>
      </c>
      <c r="B31" s="96"/>
      <c r="C31" s="175" t="s">
        <v>115</v>
      </c>
      <c r="D31" s="1155">
        <f>[1]!F001P200F2600Personnel</f>
        <v>0</v>
      </c>
      <c r="E31" s="1156">
        <v>0</v>
      </c>
      <c r="F31" s="11">
        <v>0</v>
      </c>
      <c r="G31" s="11">
        <v>0</v>
      </c>
      <c r="H31" s="11">
        <v>0</v>
      </c>
      <c r="I31" s="11">
        <v>0</v>
      </c>
      <c r="J31" s="11">
        <v>0</v>
      </c>
      <c r="K31" s="403">
        <f>[1]!F001P200F2600</f>
        <v>0</v>
      </c>
      <c r="L31" s="325">
        <f t="shared" si="3"/>
        <v>0</v>
      </c>
      <c r="M31" s="1160">
        <f t="shared" si="4"/>
        <v>0</v>
      </c>
      <c r="N31" s="177" t="s">
        <v>115</v>
      </c>
    </row>
    <row r="32" spans="1:14" ht="11.25" customHeight="1">
      <c r="A32" s="101" t="s">
        <v>101</v>
      </c>
      <c r="B32" s="96"/>
      <c r="C32" s="175" t="s">
        <v>116</v>
      </c>
      <c r="D32" s="1155">
        <f>[1]!F001P200F2900Personnel</f>
        <v>0</v>
      </c>
      <c r="E32" s="1156">
        <v>0</v>
      </c>
      <c r="F32" s="11">
        <v>0</v>
      </c>
      <c r="G32" s="11">
        <v>0</v>
      </c>
      <c r="H32" s="11">
        <v>0</v>
      </c>
      <c r="I32" s="11">
        <v>0</v>
      </c>
      <c r="J32" s="11">
        <v>0</v>
      </c>
      <c r="K32" s="403">
        <f>[1]!F001P200F2900</f>
        <v>0</v>
      </c>
      <c r="L32" s="325">
        <f t="shared" si="3"/>
        <v>0</v>
      </c>
      <c r="M32" s="1160">
        <f t="shared" si="4"/>
        <v>0</v>
      </c>
      <c r="N32" s="177" t="s">
        <v>116</v>
      </c>
    </row>
    <row r="33" spans="1:14" ht="11.25" customHeight="1">
      <c r="A33" s="101" t="s">
        <v>957</v>
      </c>
      <c r="B33" s="96"/>
      <c r="C33" s="175" t="s">
        <v>117</v>
      </c>
      <c r="D33" s="1155">
        <f>[1]!F001P200F3000Personnel</f>
        <v>0</v>
      </c>
      <c r="E33" s="1156">
        <v>0</v>
      </c>
      <c r="F33" s="11"/>
      <c r="G33" s="11"/>
      <c r="H33" s="11"/>
      <c r="I33" s="11"/>
      <c r="J33" s="11"/>
      <c r="K33" s="403">
        <f>[1]!F001P200F3000</f>
        <v>0</v>
      </c>
      <c r="L33" s="325">
        <f t="shared" si="3"/>
        <v>0</v>
      </c>
      <c r="M33" s="1160">
        <f t="shared" si="4"/>
        <v>0</v>
      </c>
      <c r="N33" s="177" t="s">
        <v>117</v>
      </c>
    </row>
    <row r="34" spans="1:14" ht="11.25" customHeight="1">
      <c r="A34" s="187" t="s">
        <v>118</v>
      </c>
      <c r="B34" s="169"/>
      <c r="C34" s="188" t="s">
        <v>119</v>
      </c>
      <c r="D34" s="186">
        <f>SUM(D24:D33)</f>
        <v>5.5</v>
      </c>
      <c r="E34" s="186">
        <f t="shared" ref="E34:J34" si="5">E24+SUM(E26:E33)</f>
        <v>5.5</v>
      </c>
      <c r="F34" s="320">
        <f t="shared" si="5"/>
        <v>267822</v>
      </c>
      <c r="G34" s="320">
        <f t="shared" si="5"/>
        <v>110586</v>
      </c>
      <c r="H34" s="320">
        <f t="shared" si="5"/>
        <v>72487</v>
      </c>
      <c r="I34" s="320">
        <f t="shared" si="5"/>
        <v>4500</v>
      </c>
      <c r="J34" s="320">
        <f t="shared" si="5"/>
        <v>3000</v>
      </c>
      <c r="K34" s="403">
        <f>SUM(K24:K33)</f>
        <v>609856</v>
      </c>
      <c r="L34" s="320">
        <f>SUM(L24:L33)</f>
        <v>458395</v>
      </c>
      <c r="M34" s="1160">
        <f t="shared" si="4"/>
        <v>-0.248</v>
      </c>
      <c r="N34" s="177" t="s">
        <v>119</v>
      </c>
    </row>
    <row r="35" spans="1:14" ht="11.25" customHeight="1">
      <c r="A35" s="1492" t="s">
        <v>962</v>
      </c>
      <c r="B35" s="96"/>
      <c r="C35" s="175" t="s">
        <v>120</v>
      </c>
      <c r="D35" s="1161">
        <f>[1]!F001P400Personnel</f>
        <v>14</v>
      </c>
      <c r="E35" s="1164">
        <v>14</v>
      </c>
      <c r="F35" s="73">
        <v>384632</v>
      </c>
      <c r="G35" s="73">
        <v>188534</v>
      </c>
      <c r="H35" s="73">
        <v>30000</v>
      </c>
      <c r="I35" s="73">
        <v>37080</v>
      </c>
      <c r="J35" s="73">
        <v>2500</v>
      </c>
      <c r="K35" s="1521">
        <f>'[1]Page 1'!$L$35</f>
        <v>642746</v>
      </c>
      <c r="L35" s="325">
        <f>SUM(F35:J35)</f>
        <v>642746</v>
      </c>
      <c r="M35" s="1163">
        <f>IF(K35=L35,0,IF(K35&gt;0,(L35-K35)/K35,""))</f>
        <v>0</v>
      </c>
      <c r="N35" s="177" t="s">
        <v>120</v>
      </c>
    </row>
    <row r="36" spans="1:14" ht="11.25" customHeight="1">
      <c r="A36" s="1495" t="s">
        <v>1049</v>
      </c>
      <c r="B36" s="99"/>
      <c r="C36" s="192"/>
      <c r="D36" s="1086"/>
      <c r="E36" s="1086"/>
      <c r="F36" s="1517"/>
      <c r="G36" s="1517"/>
      <c r="H36" s="1517"/>
      <c r="I36" s="1517"/>
      <c r="J36" s="1517"/>
      <c r="K36" s="1517"/>
      <c r="L36" s="1517"/>
      <c r="M36" s="1086"/>
      <c r="N36" s="177"/>
    </row>
    <row r="37" spans="1:14" ht="11.25" customHeight="1">
      <c r="A37" s="187" t="s">
        <v>121</v>
      </c>
      <c r="B37" s="169"/>
      <c r="C37" s="188" t="s">
        <v>122</v>
      </c>
      <c r="D37" s="1151">
        <f>[2]!DesegFTEPY</f>
        <v>0</v>
      </c>
      <c r="E37" s="1151">
        <f>[2]!DesegFTEBY</f>
        <v>0</v>
      </c>
      <c r="F37" s="1168">
        <f>[2]!DesegTotalMOO6100</f>
        <v>0</v>
      </c>
      <c r="G37" s="1168">
        <f>[2]!DesegTotalMOO6200</f>
        <v>0</v>
      </c>
      <c r="H37" s="1168">
        <f>[2]!DesegTotalMOO630064006500</f>
        <v>0</v>
      </c>
      <c r="I37" s="1168">
        <f>[2]!DesegTotalMOO6600</f>
        <v>0</v>
      </c>
      <c r="J37" s="1168">
        <f>[2]!DesegTotalMOO6800</f>
        <v>0</v>
      </c>
      <c r="K37" s="1168">
        <f>[2]!DesegTotalMOPY</f>
        <v>0</v>
      </c>
      <c r="L37" s="1168">
        <f>[2]!DesegTotalMOBY</f>
        <v>0</v>
      </c>
      <c r="M37" s="1154">
        <f>[2]!DesegTotalMOPercent</f>
        <v>0</v>
      </c>
      <c r="N37" s="177" t="s">
        <v>122</v>
      </c>
    </row>
    <row r="38" spans="1:14" ht="12.75" customHeight="1">
      <c r="A38" s="1496" t="s">
        <v>963</v>
      </c>
      <c r="B38" s="169"/>
      <c r="C38" s="194" t="s">
        <v>123</v>
      </c>
      <c r="D38" s="1165">
        <f>[1]!F001P530Personnel</f>
        <v>0</v>
      </c>
      <c r="E38" s="1166"/>
      <c r="F38" s="1360"/>
      <c r="G38" s="1360"/>
      <c r="H38" s="1360"/>
      <c r="I38" s="1360"/>
      <c r="J38" s="1360"/>
      <c r="K38" s="1518">
        <f>[1]!F001P530</f>
        <v>0</v>
      </c>
      <c r="L38" s="1518">
        <f>SUM(F38:J38)</f>
        <v>0</v>
      </c>
      <c r="M38" s="1167">
        <f>IF(K38=L38,0,IF(K38&gt;0,(L38-K38)/K38,""))</f>
        <v>0</v>
      </c>
      <c r="N38" s="177" t="s">
        <v>123</v>
      </c>
    </row>
    <row r="39" spans="1:14" ht="11.25" customHeight="1">
      <c r="A39" s="1492" t="s">
        <v>964</v>
      </c>
      <c r="B39" s="96"/>
      <c r="C39" s="192" t="s">
        <v>42</v>
      </c>
      <c r="D39" s="1086"/>
      <c r="E39" s="1086"/>
      <c r="F39" s="1517"/>
      <c r="G39" s="1517"/>
      <c r="H39" s="1517"/>
      <c r="I39" s="1517"/>
      <c r="J39" s="1517"/>
      <c r="K39" s="1517"/>
      <c r="L39" s="1517"/>
      <c r="M39" s="1086"/>
      <c r="N39" s="177" t="s">
        <v>42</v>
      </c>
    </row>
    <row r="40" spans="1:14" ht="13.5" customHeight="1">
      <c r="A40" s="187" t="s">
        <v>1050</v>
      </c>
      <c r="B40" s="169"/>
      <c r="C40" s="195" t="s">
        <v>124</v>
      </c>
      <c r="D40" s="1151">
        <f>[1]!F001P540Personnel</f>
        <v>0</v>
      </c>
      <c r="E40" s="1151">
        <v>0</v>
      </c>
      <c r="F40" s="1168">
        <v>0</v>
      </c>
      <c r="G40" s="1168">
        <v>0</v>
      </c>
      <c r="H40" s="1168">
        <v>0</v>
      </c>
      <c r="I40" s="1168">
        <v>0</v>
      </c>
      <c r="J40" s="1168">
        <v>0</v>
      </c>
      <c r="K40" s="1168">
        <f>'[1]Page 1'!$L$40</f>
        <v>0</v>
      </c>
      <c r="L40" s="1168">
        <f>SUM(F40:J40)</f>
        <v>0</v>
      </c>
      <c r="M40" s="1154">
        <f>IF(K40=L40,0,IF(K40&gt;0,(L40-K40)/K40,""))</f>
        <v>0</v>
      </c>
      <c r="N40" s="177" t="s">
        <v>124</v>
      </c>
    </row>
    <row r="41" spans="1:14" ht="13.5" customHeight="1">
      <c r="A41" s="1497" t="s">
        <v>965</v>
      </c>
      <c r="B41" s="1338"/>
      <c r="C41" s="1339" t="s">
        <v>125</v>
      </c>
      <c r="D41" s="1155">
        <f>[1]!F001P550Personnel</f>
        <v>0.25</v>
      </c>
      <c r="E41" s="1156">
        <v>1</v>
      </c>
      <c r="F41" s="11">
        <v>10000</v>
      </c>
      <c r="G41" s="11">
        <v>3327</v>
      </c>
      <c r="H41" s="11"/>
      <c r="I41" s="11"/>
      <c r="J41" s="11"/>
      <c r="K41" s="331">
        <f>[1]!F001P550</f>
        <v>13065</v>
      </c>
      <c r="L41" s="1518">
        <f>SUM(F41:J41)</f>
        <v>13327</v>
      </c>
      <c r="M41" s="1158">
        <f>IF(K41=L41,0,IF(K41&gt;0,(L41-K41)/K41,""))</f>
        <v>0.02</v>
      </c>
      <c r="N41" s="177" t="s">
        <v>125</v>
      </c>
    </row>
    <row r="42" spans="1:14" ht="13.5" customHeight="1">
      <c r="A42" s="1508" t="s">
        <v>912</v>
      </c>
      <c r="B42" s="1508"/>
      <c r="C42" s="180" t="s">
        <v>126</v>
      </c>
      <c r="D42" s="1424">
        <f t="shared" ref="D42:K42" si="6">SUM(D34:D41)+D22</f>
        <v>73.400000000000006</v>
      </c>
      <c r="E42" s="1424">
        <f t="shared" si="6"/>
        <v>74.150000000000006</v>
      </c>
      <c r="F42" s="1446">
        <f t="shared" si="6"/>
        <v>3664277</v>
      </c>
      <c r="G42" s="1446">
        <f t="shared" si="6"/>
        <v>1501888</v>
      </c>
      <c r="H42" s="1446">
        <f t="shared" si="6"/>
        <v>965487</v>
      </c>
      <c r="I42" s="1446">
        <f t="shared" si="6"/>
        <v>518580</v>
      </c>
      <c r="J42" s="1446">
        <f t="shared" si="6"/>
        <v>68000</v>
      </c>
      <c r="K42" s="1446">
        <f t="shared" si="6"/>
        <v>6916788</v>
      </c>
      <c r="L42" s="1519">
        <f>SUM(F42:J42)</f>
        <v>6718232</v>
      </c>
      <c r="M42" s="1425">
        <f>IF(K42=L42,0,IF(K42&gt;0,(L42-K42)/K42,""))</f>
        <v>-2.9000000000000001E-2</v>
      </c>
      <c r="N42" s="177" t="s">
        <v>126</v>
      </c>
    </row>
    <row r="43" spans="1:14" ht="15.75" customHeight="1">
      <c r="A43" s="1508" t="s">
        <v>1322</v>
      </c>
      <c r="B43" s="1508"/>
      <c r="C43" s="1339" t="s">
        <v>248</v>
      </c>
      <c r="D43" s="1341"/>
      <c r="E43" s="1342"/>
      <c r="F43" s="1447"/>
      <c r="G43" s="1447"/>
      <c r="H43" s="1447"/>
      <c r="I43" s="1447"/>
      <c r="J43" s="1447"/>
      <c r="K43" s="403">
        <f>[1]!F001Carryforward</f>
        <v>679893</v>
      </c>
      <c r="L43" s="12">
        <v>953984</v>
      </c>
      <c r="M43" s="1340"/>
      <c r="N43" s="177" t="s">
        <v>248</v>
      </c>
    </row>
    <row r="44" spans="1:14" ht="25.5" customHeight="1">
      <c r="A44" s="1598" t="s">
        <v>949</v>
      </c>
      <c r="B44" s="1599"/>
      <c r="C44" s="1448" t="s">
        <v>250</v>
      </c>
      <c r="D44" s="1151">
        <f>D42</f>
        <v>73.400000000000006</v>
      </c>
      <c r="E44" s="1151">
        <f>E42</f>
        <v>74.150000000000006</v>
      </c>
      <c r="F44" s="1168">
        <f t="shared" ref="F44:J44" si="7">F42</f>
        <v>3664277</v>
      </c>
      <c r="G44" s="1168">
        <f t="shared" si="7"/>
        <v>1501888</v>
      </c>
      <c r="H44" s="1168">
        <f t="shared" si="7"/>
        <v>965487</v>
      </c>
      <c r="I44" s="1168">
        <f t="shared" si="7"/>
        <v>518580</v>
      </c>
      <c r="J44" s="1168">
        <f t="shared" si="7"/>
        <v>68000</v>
      </c>
      <c r="K44" s="1168">
        <f>K42+K43</f>
        <v>7596681</v>
      </c>
      <c r="L44" s="1168">
        <f>L42+L43</f>
        <v>7672216</v>
      </c>
      <c r="M44" s="1154">
        <f>IF(K44=L44,0,IF(K44&gt;0,(L44-K44)/K44,""))</f>
        <v>0.01</v>
      </c>
      <c r="N44" s="411" t="s">
        <v>250</v>
      </c>
    </row>
    <row r="45" spans="1:14" ht="12.75" customHeight="1">
      <c r="A45" s="96"/>
      <c r="G45" s="1597"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less in the M&amp;O Fund than the General Budget Limit as calculated on page 7 of 8 by $151,461.</v>
      </c>
      <c r="H45" s="1597"/>
      <c r="I45" s="1597"/>
      <c r="J45" s="1597"/>
      <c r="K45" s="1597"/>
      <c r="L45" s="1597"/>
      <c r="M45" s="1597"/>
    </row>
    <row r="46" spans="1:14" ht="12.75" customHeight="1">
      <c r="A46" s="96" t="s">
        <v>127</v>
      </c>
      <c r="B46" s="138"/>
      <c r="C46" s="138"/>
      <c r="D46" s="138"/>
      <c r="E46" s="138"/>
      <c r="F46" s="138"/>
      <c r="G46" s="138"/>
      <c r="I46" s="196"/>
      <c r="J46" s="138"/>
      <c r="K46" s="138"/>
      <c r="L46" s="138"/>
      <c r="M46" s="196"/>
      <c r="N46" s="1283"/>
    </row>
    <row r="47" spans="1:14" s="96" customFormat="1" ht="12.75" customHeight="1">
      <c r="A47" s="197"/>
      <c r="B47" s="198"/>
      <c r="C47" s="198"/>
      <c r="D47" s="198"/>
      <c r="E47" s="199"/>
      <c r="F47" s="199"/>
      <c r="G47" s="199"/>
      <c r="H47" s="199"/>
      <c r="I47" s="199"/>
      <c r="J47" s="199"/>
      <c r="K47" s="199"/>
      <c r="L47" s="199"/>
      <c r="M47" s="199"/>
      <c r="N47" s="1"/>
    </row>
    <row r="48" spans="1:14" s="96" customFormat="1" ht="11.25" customHeight="1">
      <c r="A48" s="197"/>
      <c r="B48" s="198"/>
      <c r="C48" s="200"/>
      <c r="D48" s="198"/>
      <c r="E48" s="201"/>
      <c r="F48" s="202"/>
      <c r="G48" s="202"/>
      <c r="H48" s="202"/>
      <c r="I48" s="202"/>
      <c r="J48" s="202"/>
      <c r="K48" s="198"/>
      <c r="L48" s="202"/>
      <c r="M48" s="203"/>
      <c r="N48" s="1"/>
    </row>
    <row r="49" spans="1:13" ht="11.25" customHeight="1">
      <c r="A49" s="204"/>
      <c r="B49" s="96"/>
      <c r="C49" s="1263"/>
      <c r="D49" s="96"/>
      <c r="E49" s="205"/>
      <c r="F49" s="206"/>
      <c r="G49" s="206"/>
      <c r="H49" s="206"/>
      <c r="I49" s="206"/>
      <c r="J49" s="206"/>
      <c r="K49" s="96"/>
      <c r="L49" s="202"/>
      <c r="M49" s="207"/>
    </row>
  </sheetData>
  <sheetProtection sheet="1" formatCells="0" formatColumns="0" formatRows="0"/>
  <mergeCells count="4">
    <mergeCell ref="M1:N1"/>
    <mergeCell ref="B1:E1"/>
    <mergeCell ref="G45:M45"/>
    <mergeCell ref="A44:B44"/>
  </mergeCells>
  <conditionalFormatting sqref="G45:M45">
    <cfRule type="expression" dxfId="32" priority="17">
      <formula>ROUND(L42,0)&gt;ROUND(GBLBudgFY,0)</formula>
    </cfRule>
  </conditionalFormatting>
  <conditionalFormatting sqref="L43">
    <cfRule type="expression" dxfId="31"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zoomScaleNormal="100" workbookViewId="0">
      <selection activeCell="G8" sqref="G8"/>
    </sheetView>
  </sheetViews>
  <sheetFormatPr defaultColWidth="9.81640625" defaultRowHeight="15.6"/>
  <cols>
    <col min="1" max="1" width="3.81640625" style="97" customWidth="1"/>
    <col min="2" max="2" width="11.81640625" style="97" customWidth="1"/>
    <col min="3" max="3" width="5.81640625" style="97" customWidth="1"/>
    <col min="4" max="4" width="7.81640625" style="97" customWidth="1"/>
    <col min="5" max="8" width="8.81640625" style="97" customWidth="1"/>
    <col min="9" max="9" width="3" style="97" customWidth="1"/>
    <col min="10" max="10" width="9.81640625" style="97" customWidth="1"/>
    <col min="11" max="11" width="2.81640625" style="97" customWidth="1"/>
    <col min="12" max="12" width="8.81640625" style="97" customWidth="1"/>
    <col min="13" max="13" width="10" style="97" customWidth="1"/>
    <col min="14" max="14" width="5" style="97" customWidth="1"/>
    <col min="15" max="15" width="11" style="97" customWidth="1"/>
    <col min="16" max="16" width="4.453125" style="97" customWidth="1"/>
    <col min="17" max="17" width="3.453125" style="97" customWidth="1"/>
    <col min="18" max="19" width="10" style="97" customWidth="1"/>
    <col min="20" max="20" width="3" style="97" customWidth="1"/>
    <col min="21" max="26" width="9.81640625" style="97" customWidth="1"/>
    <col min="27" max="16384" width="9.81640625" style="97"/>
  </cols>
  <sheetData>
    <row r="1" spans="1:26" ht="15" customHeight="1">
      <c r="A1" s="1606" t="s">
        <v>56</v>
      </c>
      <c r="B1" s="1607"/>
      <c r="C1" s="1595" t="str">
        <f>DistrictName</f>
        <v>Mary C O'Brien Accommodation District</v>
      </c>
      <c r="D1" s="1596"/>
      <c r="E1" s="1596"/>
      <c r="F1" s="1596"/>
      <c r="H1" s="1262" t="s">
        <v>1</v>
      </c>
      <c r="I1" s="1604" t="str">
        <f>Cover!H1</f>
        <v>Pinal</v>
      </c>
      <c r="J1" s="1605"/>
      <c r="K1" s="134"/>
      <c r="N1" s="1262" t="s">
        <v>57</v>
      </c>
      <c r="O1" s="1276" t="str">
        <f>CTD</f>
        <v>110100000</v>
      </c>
      <c r="Q1" s="1262" t="s">
        <v>16</v>
      </c>
      <c r="R1" s="1259" t="str">
        <f>Cover!C8</f>
        <v>Proposed</v>
      </c>
      <c r="T1" s="157"/>
    </row>
    <row r="2" spans="1:26" ht="12" customHeight="1">
      <c r="H2" s="208"/>
      <c r="I2" s="209"/>
      <c r="J2" s="209"/>
      <c r="K2" s="209"/>
      <c r="R2" s="208"/>
    </row>
    <row r="3" spans="1:26" ht="11.25" customHeight="1">
      <c r="A3" s="1590" t="s">
        <v>682</v>
      </c>
      <c r="B3" s="1590"/>
      <c r="M3" s="1293"/>
      <c r="N3" s="1293"/>
      <c r="O3" s="210"/>
      <c r="T3" s="138"/>
    </row>
    <row r="4" spans="1:26" ht="12" customHeight="1">
      <c r="A4" s="211" t="s">
        <v>1053</v>
      </c>
      <c r="B4" s="211"/>
      <c r="C4" s="211"/>
      <c r="D4" s="211"/>
      <c r="E4" s="211"/>
      <c r="F4" s="211"/>
      <c r="G4" s="211"/>
      <c r="I4" s="209" t="s">
        <v>42</v>
      </c>
      <c r="K4" s="209"/>
      <c r="L4" s="1293"/>
      <c r="M4" s="1293"/>
      <c r="N4" s="210"/>
      <c r="O4" s="210"/>
      <c r="P4" s="210"/>
      <c r="Q4" s="138"/>
    </row>
    <row r="5" spans="1:26" ht="12" customHeight="1">
      <c r="B5" s="138"/>
      <c r="C5" s="138"/>
      <c r="D5" s="138"/>
      <c r="E5" s="210"/>
      <c r="F5" s="210"/>
      <c r="G5" s="210"/>
      <c r="H5" s="210"/>
      <c r="J5" s="138"/>
      <c r="K5" s="138"/>
      <c r="L5" s="138"/>
      <c r="M5" s="138"/>
      <c r="N5" s="138"/>
      <c r="O5" s="210"/>
      <c r="P5" s="210"/>
      <c r="Q5" s="210"/>
      <c r="R5" s="138"/>
    </row>
    <row r="6" spans="1:26" ht="15" customHeight="1" thickBot="1">
      <c r="A6" s="138" t="s">
        <v>128</v>
      </c>
      <c r="B6" s="138"/>
      <c r="C6" s="138"/>
      <c r="D6" s="138"/>
      <c r="E6" s="210"/>
      <c r="F6" s="210" t="s">
        <v>129</v>
      </c>
      <c r="G6" s="210" t="s">
        <v>130</v>
      </c>
      <c r="L6" s="138"/>
      <c r="M6" s="138"/>
      <c r="N6" s="148"/>
      <c r="O6" s="212"/>
      <c r="P6" s="212"/>
      <c r="Q6" s="212"/>
      <c r="R6" s="213"/>
    </row>
    <row r="7" spans="1:26" ht="12.75" customHeight="1">
      <c r="A7" s="214" t="s">
        <v>6</v>
      </c>
      <c r="B7" s="138" t="s">
        <v>882</v>
      </c>
      <c r="C7" s="215"/>
      <c r="D7" s="215"/>
      <c r="E7" s="216"/>
      <c r="F7" s="217">
        <f>[1]!F001P200Subtotal</f>
        <v>609856</v>
      </c>
      <c r="G7" s="51">
        <v>458395</v>
      </c>
      <c r="H7" s="218" t="s">
        <v>6</v>
      </c>
      <c r="J7" s="219"/>
      <c r="K7" s="220" t="s">
        <v>131</v>
      </c>
      <c r="L7" s="221"/>
      <c r="M7" s="221"/>
      <c r="N7" s="221"/>
      <c r="O7" s="222"/>
      <c r="Y7" s="223"/>
      <c r="Z7" s="223"/>
    </row>
    <row r="8" spans="1:26" ht="12.75" customHeight="1">
      <c r="A8" s="224" t="s">
        <v>8</v>
      </c>
      <c r="B8" s="234" t="s">
        <v>966</v>
      </c>
      <c r="C8" s="138"/>
      <c r="D8" s="138"/>
      <c r="E8" s="225"/>
      <c r="F8" s="226">
        <f>[1]!SPEDGiftedEdBudgFY</f>
        <v>0</v>
      </c>
      <c r="G8" s="52"/>
      <c r="H8" s="218" t="s">
        <v>8</v>
      </c>
      <c r="J8" s="219"/>
      <c r="K8" s="138" t="s">
        <v>976</v>
      </c>
      <c r="N8" s="227">
        <v>6350</v>
      </c>
      <c r="O8" s="1420">
        <v>7500</v>
      </c>
      <c r="Y8" s="223"/>
      <c r="Z8" s="223"/>
    </row>
    <row r="9" spans="1:26" ht="12.75" customHeight="1">
      <c r="A9" s="224" t="s">
        <v>22</v>
      </c>
      <c r="B9" s="234" t="s">
        <v>967</v>
      </c>
      <c r="C9" s="138"/>
      <c r="D9" s="138"/>
      <c r="E9" s="225"/>
      <c r="F9" s="226">
        <f>[1]!SPEDRemedialEdBudgFY</f>
        <v>0</v>
      </c>
      <c r="G9" s="52"/>
      <c r="H9" s="218" t="s">
        <v>22</v>
      </c>
      <c r="J9" s="219"/>
      <c r="K9" s="138" t="s">
        <v>977</v>
      </c>
      <c r="N9" s="228">
        <v>6330</v>
      </c>
      <c r="O9" s="42"/>
      <c r="Y9" s="223"/>
      <c r="Z9" s="223"/>
    </row>
    <row r="10" spans="1:26" ht="12.75" customHeight="1">
      <c r="A10" s="229" t="s">
        <v>40</v>
      </c>
      <c r="B10" s="234" t="s">
        <v>968</v>
      </c>
      <c r="C10" s="234"/>
      <c r="D10" s="138"/>
      <c r="E10" s="225"/>
      <c r="F10" s="226">
        <f>[1]!SPEDELLIncCostBudgFY</f>
        <v>0</v>
      </c>
      <c r="G10" s="52"/>
      <c r="H10" s="218" t="s">
        <v>40</v>
      </c>
      <c r="J10" s="219"/>
      <c r="K10" s="138"/>
      <c r="Y10" s="223"/>
      <c r="Z10" s="223"/>
    </row>
    <row r="11" spans="1:26" ht="12.75" customHeight="1">
      <c r="A11" s="214" t="s">
        <v>98</v>
      </c>
      <c r="B11" s="138" t="s">
        <v>969</v>
      </c>
      <c r="C11" s="234"/>
      <c r="D11" s="234"/>
      <c r="E11" s="225"/>
      <c r="F11" s="226">
        <f>[1]!SPEDELLCompInstrBudgFY</f>
        <v>0</v>
      </c>
      <c r="G11" s="52"/>
      <c r="H11" s="230" t="s">
        <v>98</v>
      </c>
      <c r="J11" s="219"/>
      <c r="L11" s="138"/>
      <c r="M11" s="1297"/>
      <c r="N11" s="212"/>
      <c r="O11" s="138"/>
      <c r="P11" s="138"/>
      <c r="Q11" s="138"/>
      <c r="R11" s="138"/>
      <c r="Y11" s="223"/>
      <c r="Z11" s="223"/>
    </row>
    <row r="12" spans="1:26" ht="12.75" customHeight="1">
      <c r="A12" s="231" t="s">
        <v>99</v>
      </c>
      <c r="B12" s="234" t="s">
        <v>970</v>
      </c>
      <c r="C12" s="257"/>
      <c r="D12" s="257"/>
      <c r="E12" s="235"/>
      <c r="F12" s="226">
        <f>[1]!SPEDVocTechEdBudgFY</f>
        <v>0</v>
      </c>
      <c r="G12" s="52"/>
      <c r="H12" s="218" t="s">
        <v>99</v>
      </c>
      <c r="J12" s="219"/>
      <c r="K12" s="1293" t="s">
        <v>1343</v>
      </c>
      <c r="N12" s="138"/>
      <c r="O12" s="1297"/>
      <c r="P12" s="212"/>
      <c r="Q12" s="138"/>
      <c r="R12" s="138"/>
      <c r="Y12" s="223"/>
      <c r="Z12" s="223"/>
    </row>
    <row r="13" spans="1:26" ht="12.75" customHeight="1">
      <c r="A13" s="231" t="s">
        <v>100</v>
      </c>
      <c r="B13" s="234" t="s">
        <v>971</v>
      </c>
      <c r="C13" s="138"/>
      <c r="D13" s="138"/>
      <c r="E13" s="225"/>
      <c r="F13" s="232">
        <f>[1]!SPEDCareerEdBudgFY</f>
        <v>0</v>
      </c>
      <c r="G13" s="53"/>
      <c r="H13" s="233" t="s">
        <v>100</v>
      </c>
      <c r="J13" s="219"/>
      <c r="K13" s="138" t="s">
        <v>975</v>
      </c>
      <c r="Q13" s="1297"/>
      <c r="R13" s="29">
        <v>0</v>
      </c>
      <c r="Y13" s="223"/>
      <c r="Z13" s="223"/>
    </row>
    <row r="14" spans="1:26" ht="12.75" customHeight="1" thickBot="1">
      <c r="A14" s="231" t="s">
        <v>102</v>
      </c>
      <c r="B14" s="234" t="s">
        <v>972</v>
      </c>
      <c r="C14" s="234"/>
      <c r="D14" s="234"/>
      <c r="E14" s="235"/>
      <c r="F14" s="1089">
        <f>[1]!JTEDBudgFY</f>
        <v>0</v>
      </c>
      <c r="G14" s="1090"/>
      <c r="H14" s="233" t="s">
        <v>102</v>
      </c>
      <c r="I14" s="1608" t="str">
        <f>IF(SUM(G7:G14)=SUM('Page 1'!L34:L34),"","Invalid. The amount should equal the total budgeted amount reported on line 24, page 1.")</f>
        <v/>
      </c>
      <c r="J14" s="1608"/>
      <c r="K14" s="138"/>
      <c r="Q14" s="1297"/>
      <c r="R14" s="236"/>
      <c r="Y14" s="223"/>
      <c r="Z14" s="223"/>
    </row>
    <row r="15" spans="1:26" ht="12.75" customHeight="1">
      <c r="A15" s="237" t="s">
        <v>103</v>
      </c>
      <c r="B15" s="138" t="s">
        <v>973</v>
      </c>
      <c r="C15" s="138"/>
      <c r="D15" s="138"/>
      <c r="E15" s="1602"/>
      <c r="F15" s="1087"/>
      <c r="G15" s="1088"/>
      <c r="H15" s="218"/>
      <c r="I15" s="1608"/>
      <c r="J15" s="1608"/>
      <c r="K15" s="238" t="s">
        <v>974</v>
      </c>
      <c r="L15" s="306"/>
      <c r="Q15" s="239"/>
      <c r="R15" s="138"/>
      <c r="Y15" s="223"/>
      <c r="Z15" s="223"/>
    </row>
    <row r="16" spans="1:26" ht="12.75" customHeight="1" thickBot="1">
      <c r="A16" s="240"/>
      <c r="B16" s="138" t="s">
        <v>132</v>
      </c>
      <c r="C16" s="138"/>
      <c r="D16" s="138"/>
      <c r="E16" s="1603"/>
      <c r="F16" s="1195">
        <f>SUM(F7:F14)</f>
        <v>609856</v>
      </c>
      <c r="G16" s="1195">
        <f>SUM(G7:G14)</f>
        <v>458395</v>
      </c>
      <c r="H16" s="241" t="s">
        <v>103</v>
      </c>
      <c r="I16" s="1608"/>
      <c r="J16" s="1608"/>
      <c r="Y16" s="223"/>
      <c r="Z16" s="223"/>
    </row>
    <row r="17" spans="1:26" ht="12.75" customHeight="1" thickTop="1">
      <c r="A17" s="240"/>
      <c r="B17" s="138"/>
      <c r="C17" s="138"/>
      <c r="D17" s="138"/>
      <c r="E17" s="138"/>
      <c r="F17" s="138"/>
      <c r="G17" s="138"/>
      <c r="H17" s="1283"/>
      <c r="I17" s="1608"/>
      <c r="J17" s="1608"/>
      <c r="L17" s="138"/>
      <c r="N17" s="1297"/>
      <c r="O17" s="1263"/>
      <c r="P17" s="212"/>
      <c r="Q17" s="138"/>
      <c r="Y17" s="223"/>
      <c r="Z17" s="223"/>
    </row>
    <row r="18" spans="1:26" ht="12.75" customHeight="1">
      <c r="A18" s="237" t="s">
        <v>104</v>
      </c>
      <c r="B18" s="242" t="s">
        <v>133</v>
      </c>
      <c r="C18" s="242"/>
      <c r="D18" s="242"/>
      <c r="E18" s="242"/>
      <c r="F18" s="242"/>
      <c r="G18" s="242"/>
      <c r="H18" s="243"/>
      <c r="I18" s="1608"/>
      <c r="J18" s="1608"/>
      <c r="K18" s="220" t="s">
        <v>134</v>
      </c>
      <c r="L18" s="220"/>
      <c r="M18" s="221"/>
      <c r="N18" s="221"/>
      <c r="O18" s="221"/>
      <c r="P18" s="244"/>
      <c r="Q18" s="244"/>
      <c r="R18" s="244"/>
      <c r="Y18" s="223"/>
      <c r="Z18" s="223"/>
    </row>
    <row r="19" spans="1:26" ht="12.75" customHeight="1">
      <c r="A19" s="243"/>
      <c r="B19" s="242" t="s">
        <v>135</v>
      </c>
      <c r="C19" s="242"/>
      <c r="D19" s="242"/>
      <c r="E19" s="243"/>
      <c r="F19" s="245">
        <f t="array" ref="F19">[1]!IEPTransportCosts</f>
        <v>0</v>
      </c>
      <c r="G19" s="78">
        <v>0</v>
      </c>
      <c r="H19" s="246" t="s">
        <v>104</v>
      </c>
      <c r="J19" s="219"/>
      <c r="K19" s="247" t="s">
        <v>1054</v>
      </c>
      <c r="L19" s="135"/>
      <c r="M19" s="135"/>
      <c r="N19" s="135"/>
      <c r="O19" s="135"/>
      <c r="P19" s="135"/>
      <c r="Q19" s="248"/>
      <c r="R19" s="30">
        <v>145000</v>
      </c>
      <c r="Y19" s="223"/>
      <c r="Z19" s="223"/>
    </row>
    <row r="20" spans="1:26" ht="12.75" customHeight="1">
      <c r="E20" s="249"/>
      <c r="K20" s="135" t="s">
        <v>136</v>
      </c>
      <c r="L20" s="135"/>
      <c r="M20" s="135"/>
      <c r="N20" s="135"/>
      <c r="O20" s="135"/>
      <c r="P20" s="135"/>
      <c r="Q20" s="244"/>
      <c r="R20" s="244"/>
      <c r="Y20" s="223"/>
      <c r="Z20" s="223"/>
    </row>
    <row r="21" spans="1:26" ht="12.75" customHeight="1">
      <c r="K21" s="135" t="s">
        <v>137</v>
      </c>
      <c r="L21" s="135"/>
      <c r="M21" s="135"/>
      <c r="N21" s="135"/>
      <c r="O21" s="135"/>
      <c r="P21" s="135"/>
      <c r="Q21" s="244"/>
      <c r="R21" s="244"/>
      <c r="Y21" s="223"/>
      <c r="Z21" s="223"/>
    </row>
    <row r="22" spans="1:26" ht="12" customHeight="1">
      <c r="A22" s="1121" t="s">
        <v>138</v>
      </c>
      <c r="C22" s="196"/>
      <c r="D22" s="196"/>
      <c r="E22" s="196"/>
      <c r="F22" s="250"/>
      <c r="G22" s="138"/>
      <c r="H22" s="138"/>
      <c r="I22" s="118"/>
      <c r="O22" s="138"/>
      <c r="P22" s="138"/>
      <c r="Q22" s="138"/>
      <c r="Y22" s="223"/>
      <c r="Z22" s="223"/>
    </row>
    <row r="23" spans="1:26" ht="12.75" customHeight="1">
      <c r="A23" s="251" t="s">
        <v>139</v>
      </c>
      <c r="C23" s="196"/>
      <c r="D23" s="196"/>
      <c r="F23" s="1297" t="s">
        <v>1051</v>
      </c>
      <c r="G23" s="252">
        <f>SPEDTeacher</f>
        <v>10</v>
      </c>
      <c r="H23" s="138"/>
      <c r="K23" s="1293"/>
      <c r="O23" s="138"/>
      <c r="P23" s="253"/>
      <c r="Q23" s="239"/>
      <c r="R23" s="138"/>
      <c r="S23" s="138"/>
      <c r="Y23" s="223"/>
      <c r="Z23" s="223"/>
    </row>
    <row r="24" spans="1:26" ht="12.75" customHeight="1">
      <c r="F24" s="1297" t="s">
        <v>1052</v>
      </c>
      <c r="G24" s="252">
        <f>SPEDStaff</f>
        <v>10</v>
      </c>
      <c r="H24" s="138"/>
      <c r="K24" s="1610"/>
      <c r="L24" s="1610"/>
      <c r="M24" s="1610"/>
      <c r="N24" s="1610"/>
      <c r="O24" s="1610"/>
      <c r="P24" s="1610"/>
      <c r="Q24" s="254"/>
      <c r="R24" s="255"/>
      <c r="Y24" s="223"/>
      <c r="Z24" s="223"/>
    </row>
    <row r="25" spans="1:26" ht="12.75" customHeight="1">
      <c r="F25" s="138"/>
      <c r="G25" s="138"/>
      <c r="H25" s="138"/>
      <c r="K25" s="1609"/>
      <c r="L25" s="1609"/>
      <c r="M25" s="1609"/>
      <c r="N25" s="1609"/>
      <c r="O25" s="1609"/>
      <c r="P25" s="256"/>
      <c r="Q25" s="257"/>
      <c r="R25" s="257"/>
      <c r="Y25" s="223"/>
      <c r="Z25" s="223"/>
    </row>
    <row r="26" spans="1:26" ht="13.5" customHeight="1">
      <c r="A26" s="1601"/>
      <c r="B26" s="1601"/>
      <c r="C26" s="1601"/>
      <c r="D26" s="1601"/>
      <c r="G26" s="138"/>
      <c r="H26" s="138"/>
      <c r="J26" s="258"/>
      <c r="K26" s="259"/>
      <c r="L26" s="234"/>
      <c r="M26" s="234"/>
      <c r="N26" s="234"/>
      <c r="O26" s="234"/>
      <c r="P26" s="257"/>
      <c r="Q26" s="257"/>
      <c r="R26" s="260"/>
      <c r="Y26" s="223"/>
      <c r="Z26" s="223"/>
    </row>
    <row r="27" spans="1:26" ht="12.75" customHeight="1">
      <c r="A27" s="1242"/>
      <c r="C27" s="209"/>
      <c r="F27" s="138"/>
      <c r="K27" s="259"/>
      <c r="L27" s="234"/>
      <c r="M27" s="234"/>
      <c r="N27" s="234"/>
      <c r="O27" s="234"/>
      <c r="P27" s="257"/>
      <c r="Q27" s="257"/>
      <c r="R27" s="260"/>
      <c r="S27" s="1283"/>
      <c r="Y27" s="223"/>
      <c r="Z27" s="223"/>
    </row>
    <row r="28" spans="1:26" ht="13.5" customHeight="1">
      <c r="C28" s="209"/>
      <c r="E28" s="1243"/>
      <c r="F28" s="266"/>
      <c r="K28" s="259"/>
      <c r="L28" s="261"/>
      <c r="M28" s="262"/>
      <c r="N28" s="262"/>
      <c r="O28" s="263"/>
      <c r="P28" s="257"/>
      <c r="Q28" s="257"/>
      <c r="R28" s="264"/>
      <c r="S28" s="1283"/>
      <c r="Y28" s="223"/>
      <c r="Z28" s="223"/>
    </row>
    <row r="29" spans="1:26" ht="15" customHeight="1">
      <c r="E29" s="1243"/>
      <c r="F29" s="268"/>
      <c r="G29" s="1286"/>
      <c r="K29" s="259"/>
      <c r="L29" s="261"/>
      <c r="M29" s="262"/>
      <c r="N29" s="262"/>
      <c r="O29" s="263"/>
      <c r="P29" s="257"/>
      <c r="Q29" s="257"/>
      <c r="R29" s="264"/>
      <c r="S29" s="1283"/>
      <c r="Y29" s="1600"/>
      <c r="Z29" s="1600"/>
    </row>
    <row r="30" spans="1:26" ht="13.5" customHeight="1">
      <c r="B30" s="138"/>
      <c r="D30" s="138"/>
      <c r="E30" s="1297"/>
      <c r="F30" s="1299"/>
      <c r="G30" s="1214"/>
      <c r="K30" s="259"/>
      <c r="L30" s="261"/>
      <c r="M30" s="234"/>
      <c r="N30" s="234"/>
      <c r="O30" s="265"/>
      <c r="P30" s="257"/>
      <c r="Q30" s="257"/>
      <c r="R30" s="264"/>
      <c r="S30" s="1283"/>
      <c r="Y30" s="1600"/>
      <c r="Z30" s="1600"/>
    </row>
    <row r="31" spans="1:26" ht="12.75" customHeight="1">
      <c r="A31" s="1293"/>
      <c r="C31" s="196"/>
      <c r="D31" s="196"/>
      <c r="I31" s="138"/>
      <c r="K31" s="267"/>
      <c r="L31" s="234"/>
      <c r="M31" s="234"/>
      <c r="N31" s="234"/>
      <c r="O31" s="265"/>
      <c r="P31" s="257"/>
      <c r="Q31" s="257"/>
      <c r="R31" s="264"/>
      <c r="S31" s="1283"/>
    </row>
    <row r="32" spans="1:26" ht="12.75" customHeight="1">
      <c r="A32" s="1283"/>
      <c r="B32" s="1289"/>
      <c r="C32" s="1289"/>
      <c r="D32" s="1289"/>
      <c r="E32" s="1289"/>
      <c r="I32" s="1293"/>
      <c r="K32" s="259"/>
      <c r="L32" s="234"/>
      <c r="M32" s="234"/>
      <c r="N32" s="234"/>
      <c r="O32" s="265"/>
      <c r="P32" s="257"/>
      <c r="Q32" s="257"/>
      <c r="R32" s="264"/>
      <c r="S32" s="1283"/>
    </row>
    <row r="33" spans="1:19" ht="13.5" customHeight="1">
      <c r="A33" s="1213"/>
      <c r="B33" s="1299"/>
      <c r="C33" s="1299"/>
      <c r="D33" s="1299"/>
      <c r="E33" s="1299"/>
      <c r="I33" s="138"/>
      <c r="K33" s="259"/>
      <c r="L33" s="234"/>
      <c r="M33" s="234"/>
      <c r="N33" s="234"/>
      <c r="O33" s="265"/>
      <c r="P33" s="257"/>
      <c r="Q33" s="257"/>
      <c r="R33" s="264"/>
      <c r="S33" s="1283"/>
    </row>
    <row r="34" spans="1:19" ht="12.75" customHeight="1">
      <c r="E34" s="269"/>
      <c r="I34" s="138"/>
      <c r="K34" s="267"/>
      <c r="L34" s="261"/>
      <c r="M34" s="234"/>
      <c r="N34" s="234"/>
      <c r="O34" s="265"/>
      <c r="P34" s="257"/>
      <c r="Q34" s="257"/>
      <c r="R34" s="264"/>
      <c r="S34" s="1283"/>
    </row>
    <row r="35" spans="1:19" ht="12.75" customHeight="1">
      <c r="I35" s="138"/>
      <c r="K35" s="257"/>
      <c r="L35" s="234"/>
      <c r="M35" s="234"/>
      <c r="N35" s="234"/>
      <c r="O35" s="234"/>
      <c r="P35" s="234"/>
      <c r="Q35" s="257"/>
      <c r="R35" s="234"/>
      <c r="S35" s="1283"/>
    </row>
    <row r="36" spans="1:19" ht="12.75" customHeight="1">
      <c r="I36" s="138"/>
      <c r="L36" s="138"/>
      <c r="M36" s="138"/>
      <c r="N36" s="138"/>
      <c r="O36" s="138"/>
      <c r="P36" s="138"/>
      <c r="R36" s="138"/>
      <c r="S36" s="1283"/>
    </row>
    <row r="37" spans="1:19" ht="12.75" customHeight="1">
      <c r="L37" s="230"/>
      <c r="M37" s="138"/>
      <c r="N37" s="138"/>
      <c r="O37" s="138"/>
      <c r="P37" s="138"/>
      <c r="R37" s="270"/>
    </row>
    <row r="38" spans="1:19" ht="12.75" customHeight="1">
      <c r="L38" s="230"/>
      <c r="M38" s="138"/>
      <c r="N38" s="138"/>
      <c r="O38" s="138"/>
      <c r="P38" s="138"/>
      <c r="R38" s="270"/>
    </row>
    <row r="39" spans="1:19" ht="12.75" customHeight="1">
      <c r="K39" s="138"/>
      <c r="L39" s="138"/>
      <c r="M39" s="138"/>
      <c r="N39" s="138"/>
      <c r="O39" s="138"/>
      <c r="P39" s="138"/>
    </row>
    <row r="40" spans="1:19" ht="12.75" customHeight="1">
      <c r="K40" s="138"/>
      <c r="L40" s="138"/>
      <c r="M40" s="138"/>
      <c r="N40" s="138"/>
      <c r="O40" s="138"/>
      <c r="P40" s="138"/>
    </row>
    <row r="41" spans="1:19" ht="13.5" customHeight="1">
      <c r="K41" s="138"/>
    </row>
    <row r="42" spans="1:19" ht="12.75" customHeight="1">
      <c r="I42" s="138"/>
      <c r="J42" s="271"/>
      <c r="S42" s="138"/>
    </row>
    <row r="43" spans="1:19" ht="13.5" hidden="1" customHeight="1"/>
    <row r="44" spans="1:19" ht="13.5" customHeight="1"/>
    <row r="45" spans="1:19" ht="13.5" customHeight="1">
      <c r="I45" s="138"/>
    </row>
    <row r="46" spans="1:19" ht="13.5" customHeight="1">
      <c r="I46" s="1293"/>
    </row>
    <row r="47" spans="1:19" ht="6" customHeight="1">
      <c r="I47" s="138"/>
      <c r="J47" s="138"/>
    </row>
    <row r="48" spans="1:19" ht="12" customHeight="1">
      <c r="J48" s="138"/>
    </row>
    <row r="49" spans="19:20" ht="12.75" customHeight="1">
      <c r="S49" s="138"/>
      <c r="T49" s="1297"/>
    </row>
  </sheetData>
  <sheetProtection sheet="1"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3"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K16" sqref="K16"/>
    </sheetView>
  </sheetViews>
  <sheetFormatPr defaultColWidth="8.81640625" defaultRowHeight="15"/>
  <cols>
    <col min="1" max="1" width="38.81640625" customWidth="1"/>
    <col min="2" max="2" width="4" customWidth="1"/>
    <col min="3" max="3" width="3.54296875" customWidth="1"/>
    <col min="4" max="11" width="11.81640625" customWidth="1"/>
    <col min="12" max="12" width="6.81640625" customWidth="1"/>
    <col min="13" max="13" width="3.81640625" customWidth="1"/>
    <col min="14" max="14" width="2" customWidth="1"/>
    <col min="15" max="15" width="14" customWidth="1"/>
    <col min="16" max="16" width="7.453125" customWidth="1"/>
    <col min="17" max="17" width="8.81640625" customWidth="1"/>
    <col min="18" max="18" width="20.81640625" customWidth="1"/>
    <col min="19" max="25" width="8.81640625" customWidth="1"/>
  </cols>
  <sheetData>
    <row r="1" spans="1:25" ht="16.5" customHeight="1">
      <c r="A1" s="1262" t="s">
        <v>140</v>
      </c>
      <c r="B1" s="1595" t="str">
        <f>DistrictName</f>
        <v>Mary C O'Brien Accommodation District</v>
      </c>
      <c r="C1" s="1611"/>
      <c r="D1" s="1611"/>
      <c r="E1" s="1611"/>
      <c r="F1" s="1262" t="s">
        <v>1</v>
      </c>
      <c r="G1" s="272" t="str">
        <f>Cover!H1</f>
        <v>Pinal</v>
      </c>
      <c r="J1" s="227" t="s">
        <v>57</v>
      </c>
      <c r="K1" s="98" t="str">
        <f>Cover!S1</f>
        <v>110100000</v>
      </c>
      <c r="M1" s="1262" t="s">
        <v>16</v>
      </c>
      <c r="N1" s="273" t="str">
        <f>Cover!C8</f>
        <v>Proposed</v>
      </c>
      <c r="O1" s="274"/>
    </row>
    <row r="2" spans="1:25" ht="22.5" customHeight="1">
      <c r="A2" s="1122" t="s">
        <v>141</v>
      </c>
      <c r="B2" s="275"/>
      <c r="C2" s="275"/>
      <c r="D2" s="1612" t="s">
        <v>142</v>
      </c>
      <c r="E2" s="1612"/>
      <c r="F2" s="1612"/>
      <c r="G2" s="1612"/>
      <c r="H2" s="1612"/>
      <c r="I2" s="1612"/>
      <c r="J2" s="1612"/>
      <c r="K2" s="1612"/>
      <c r="L2" s="1612"/>
      <c r="M2" s="96"/>
      <c r="N2" s="96"/>
    </row>
    <row r="3" spans="1:25" ht="11.25" customHeight="1">
      <c r="A3" s="1468" t="s">
        <v>682</v>
      </c>
      <c r="B3" s="276"/>
      <c r="C3" s="277"/>
      <c r="D3" s="278"/>
      <c r="E3" s="279"/>
      <c r="F3" s="280"/>
      <c r="G3" s="281"/>
      <c r="H3" s="282"/>
      <c r="I3" s="1123" t="s">
        <v>143</v>
      </c>
      <c r="J3" s="1613" t="s">
        <v>79</v>
      </c>
      <c r="K3" s="1614"/>
      <c r="L3" s="282" t="s">
        <v>86</v>
      </c>
      <c r="M3" s="1"/>
      <c r="N3" s="1"/>
    </row>
    <row r="4" spans="1:25" ht="11.25" customHeight="1">
      <c r="A4" s="1371" t="s">
        <v>87</v>
      </c>
      <c r="B4" s="116"/>
      <c r="C4" s="1372"/>
      <c r="D4" s="1373" t="s">
        <v>81</v>
      </c>
      <c r="E4" s="1126" t="s">
        <v>144</v>
      </c>
      <c r="F4" s="1374" t="s">
        <v>145</v>
      </c>
      <c r="G4" s="4" t="s">
        <v>82</v>
      </c>
      <c r="H4" s="1374" t="s">
        <v>146</v>
      </c>
      <c r="I4" s="1374" t="s">
        <v>147</v>
      </c>
      <c r="J4" s="1375" t="s">
        <v>129</v>
      </c>
      <c r="K4" s="1375" t="s">
        <v>130</v>
      </c>
      <c r="L4" s="1126" t="s">
        <v>89</v>
      </c>
      <c r="M4" s="1"/>
      <c r="N4" s="1"/>
    </row>
    <row r="5" spans="1:25" ht="11.25" customHeight="1">
      <c r="A5" s="1376"/>
      <c r="B5" s="1377"/>
      <c r="C5" s="1378"/>
      <c r="D5" s="1379" t="s">
        <v>90</v>
      </c>
      <c r="E5" s="172" t="s">
        <v>91</v>
      </c>
      <c r="F5" s="1380" t="s">
        <v>148</v>
      </c>
      <c r="G5" s="171">
        <v>6600</v>
      </c>
      <c r="H5" s="1374">
        <v>6700</v>
      </c>
      <c r="I5" s="1374">
        <v>6800</v>
      </c>
      <c r="J5" s="1381">
        <f>PriorFiscalYear</f>
        <v>2026</v>
      </c>
      <c r="K5" s="1381">
        <f>Cover!E3</f>
        <v>2027</v>
      </c>
      <c r="L5" s="1381" t="s">
        <v>94</v>
      </c>
      <c r="M5" s="1"/>
      <c r="N5" s="1"/>
    </row>
    <row r="6" spans="1:25" ht="12" customHeight="1">
      <c r="A6" s="101" t="s">
        <v>149</v>
      </c>
      <c r="B6" s="96"/>
      <c r="C6" s="175" t="s">
        <v>6</v>
      </c>
      <c r="D6" s="1382">
        <v>215000</v>
      </c>
      <c r="E6" s="1382">
        <v>35000</v>
      </c>
      <c r="F6" s="1383"/>
      <c r="G6" s="1384"/>
      <c r="H6" s="1385"/>
      <c r="I6" s="1385"/>
      <c r="J6" s="1386">
        <f t="array" ref="J6">[1]!F010F1000</f>
        <v>440357</v>
      </c>
      <c r="K6" s="1387">
        <f t="shared" ref="K6:K12" si="0">SUM(D6:I6)</f>
        <v>250000</v>
      </c>
      <c r="L6" s="1388">
        <f t="shared" ref="L6:L11" si="1">IF(J6=K6,0,IF(J6&gt;0,(K6-J6)/J6,""))</f>
        <v>-0.432</v>
      </c>
      <c r="M6" s="415" t="s">
        <v>6</v>
      </c>
      <c r="N6" s="177"/>
    </row>
    <row r="7" spans="1:25" ht="12" customHeight="1">
      <c r="A7" s="101" t="s">
        <v>150</v>
      </c>
      <c r="B7" s="96"/>
      <c r="C7" s="175" t="s">
        <v>8</v>
      </c>
      <c r="D7" s="1389">
        <v>12000</v>
      </c>
      <c r="E7" s="1389">
        <v>3000</v>
      </c>
      <c r="F7" s="1389"/>
      <c r="G7" s="1389"/>
      <c r="H7" s="1389"/>
      <c r="I7" s="1389"/>
      <c r="J7" s="1386">
        <f t="array" ref="J7">[1]!F010F2100</f>
        <v>0</v>
      </c>
      <c r="K7" s="1387">
        <f t="shared" si="0"/>
        <v>15000</v>
      </c>
      <c r="L7" s="1388" t="str">
        <f t="shared" si="1"/>
        <v/>
      </c>
      <c r="M7" s="1390" t="s">
        <v>8</v>
      </c>
      <c r="N7" s="288"/>
      <c r="O7" s="269"/>
      <c r="P7" s="269"/>
      <c r="Q7" s="271"/>
      <c r="R7" s="269"/>
      <c r="S7" s="289"/>
      <c r="T7" s="290"/>
      <c r="U7" s="290"/>
      <c r="V7" s="290"/>
      <c r="W7" s="290"/>
      <c r="X7" s="290"/>
      <c r="Y7" s="290"/>
    </row>
    <row r="8" spans="1:25" ht="12" customHeight="1">
      <c r="A8" s="101" t="s">
        <v>151</v>
      </c>
      <c r="B8" s="96"/>
      <c r="C8" s="175" t="s">
        <v>22</v>
      </c>
      <c r="D8" s="1391"/>
      <c r="E8" s="1391"/>
      <c r="F8" s="5"/>
      <c r="G8" s="5"/>
      <c r="H8" s="1392"/>
      <c r="I8" s="5"/>
      <c r="J8" s="1386">
        <f t="array" ref="J8">[1]!F010F2200</f>
        <v>0</v>
      </c>
      <c r="K8" s="1387">
        <f t="shared" si="0"/>
        <v>0</v>
      </c>
      <c r="L8" s="1388">
        <f t="shared" si="1"/>
        <v>0</v>
      </c>
      <c r="M8" s="1390" t="s">
        <v>22</v>
      </c>
      <c r="N8" s="177"/>
      <c r="O8" s="269"/>
    </row>
    <row r="9" spans="1:25" s="153" customFormat="1" ht="12" customHeight="1">
      <c r="A9" s="1393" t="s">
        <v>152</v>
      </c>
      <c r="B9" s="204"/>
      <c r="C9" s="1427" t="s">
        <v>40</v>
      </c>
      <c r="D9" s="1394"/>
      <c r="E9" s="1394"/>
      <c r="F9" s="1385"/>
      <c r="G9" s="1394"/>
      <c r="H9" s="1394"/>
      <c r="I9" s="1394"/>
      <c r="J9" s="1395">
        <f t="array" ref="J9">[1]!F010F2310</f>
        <v>0</v>
      </c>
      <c r="K9" s="1387">
        <f t="shared" si="0"/>
        <v>0</v>
      </c>
      <c r="L9" s="1396">
        <f t="shared" si="1"/>
        <v>0</v>
      </c>
      <c r="M9" s="415" t="s">
        <v>40</v>
      </c>
      <c r="N9" s="292"/>
    </row>
    <row r="10" spans="1:25" ht="12" customHeight="1">
      <c r="A10" s="1393" t="s">
        <v>153</v>
      </c>
      <c r="B10" s="96"/>
      <c r="C10" s="175" t="s">
        <v>98</v>
      </c>
      <c r="D10" s="1397"/>
      <c r="E10" s="1397"/>
      <c r="F10" s="1397"/>
      <c r="G10" s="1398"/>
      <c r="H10" s="1399"/>
      <c r="I10" s="1400"/>
      <c r="J10" s="1395" cm="1">
        <f t="array" ref="J10">[1]!F010F2510</f>
        <v>0</v>
      </c>
      <c r="K10" s="1387">
        <f t="shared" si="0"/>
        <v>0</v>
      </c>
      <c r="L10" s="1401">
        <f t="shared" si="1"/>
        <v>0</v>
      </c>
      <c r="M10" s="415" t="s">
        <v>98</v>
      </c>
      <c r="N10" s="177"/>
    </row>
    <row r="11" spans="1:25" ht="12" customHeight="1">
      <c r="A11" s="784" t="s">
        <v>1338</v>
      </c>
      <c r="B11" s="96"/>
      <c r="C11" s="175" t="s">
        <v>99</v>
      </c>
      <c r="D11" s="1385"/>
      <c r="E11" s="1385"/>
      <c r="F11" s="1385"/>
      <c r="G11" s="1397"/>
      <c r="H11" s="1398"/>
      <c r="I11" s="1399"/>
      <c r="J11" s="1403">
        <f t="array" ref="J11">[1]!F010F3300</f>
        <v>0</v>
      </c>
      <c r="K11" s="1403">
        <f t="shared" si="0"/>
        <v>0</v>
      </c>
      <c r="L11" s="1404">
        <f t="shared" si="1"/>
        <v>0</v>
      </c>
      <c r="M11" s="415" t="s">
        <v>99</v>
      </c>
      <c r="N11" s="177"/>
    </row>
    <row r="12" spans="1:25" ht="12" customHeight="1">
      <c r="A12" s="1402" t="s">
        <v>154</v>
      </c>
      <c r="B12" s="1279"/>
      <c r="C12" s="175" t="s">
        <v>100</v>
      </c>
      <c r="D12" s="1405"/>
      <c r="E12" s="1405"/>
      <c r="F12" s="1405"/>
      <c r="G12" s="1405"/>
      <c r="H12" s="1073"/>
      <c r="I12" s="1405"/>
      <c r="J12" s="1103">
        <f t="array" ref="J12">[1]!F010F4000</f>
        <v>0</v>
      </c>
      <c r="K12" s="1103">
        <f t="shared" si="0"/>
        <v>0</v>
      </c>
      <c r="L12" s="1405"/>
      <c r="M12" s="415" t="s">
        <v>100</v>
      </c>
    </row>
    <row r="13" spans="1:25" ht="12" customHeight="1">
      <c r="A13" s="1402" t="s">
        <v>155</v>
      </c>
      <c r="B13" s="1279"/>
      <c r="C13" s="175" t="s">
        <v>102</v>
      </c>
      <c r="D13" s="1405"/>
      <c r="E13" s="1405"/>
      <c r="F13" s="1405"/>
      <c r="G13" s="1405"/>
      <c r="H13" s="1405"/>
      <c r="I13" s="1073"/>
      <c r="J13" s="1103">
        <f t="array" ref="J13">[1]!F010F5000</f>
        <v>0</v>
      </c>
      <c r="K13" s="1103">
        <f>SUM(D13:I13)</f>
        <v>0</v>
      </c>
      <c r="L13" s="1405"/>
      <c r="M13" s="415" t="s">
        <v>102</v>
      </c>
    </row>
    <row r="14" spans="1:25" ht="12" customHeight="1">
      <c r="A14" s="784" t="s">
        <v>914</v>
      </c>
      <c r="B14" s="206"/>
      <c r="C14" s="1427" t="s">
        <v>103</v>
      </c>
      <c r="D14" s="1408">
        <f>SUM(D6:D13)</f>
        <v>227000</v>
      </c>
      <c r="E14" s="1408">
        <f t="shared" ref="E14:K14" si="2">SUM(E6:E13)</f>
        <v>38000</v>
      </c>
      <c r="F14" s="1408">
        <f t="shared" si="2"/>
        <v>0</v>
      </c>
      <c r="G14" s="1408">
        <f t="shared" si="2"/>
        <v>0</v>
      </c>
      <c r="H14" s="1408">
        <f t="shared" si="2"/>
        <v>0</v>
      </c>
      <c r="I14" s="1408">
        <f t="shared" si="2"/>
        <v>0</v>
      </c>
      <c r="J14" s="1408">
        <f t="shared" si="2"/>
        <v>440357</v>
      </c>
      <c r="K14" s="1408">
        <f t="shared" si="2"/>
        <v>265000</v>
      </c>
      <c r="L14" s="1388">
        <f>IF(J14=K14,0,IF(J14&gt;0,(K14-J14)/J14,""))</f>
        <v>-0.39800000000000002</v>
      </c>
      <c r="M14" s="415" t="s">
        <v>103</v>
      </c>
      <c r="O14" s="294"/>
      <c r="P14" s="294"/>
      <c r="Q14" s="294"/>
      <c r="R14" s="294"/>
      <c r="S14" s="1291"/>
      <c r="T14" s="1291"/>
      <c r="U14" s="1291"/>
      <c r="V14" s="1291"/>
      <c r="W14" s="1291"/>
      <c r="X14" s="1291"/>
    </row>
    <row r="15" spans="1:25" ht="13.2" customHeight="1">
      <c r="A15" s="784" t="s">
        <v>1322</v>
      </c>
      <c r="B15" s="206"/>
      <c r="C15" s="1427" t="s">
        <v>104</v>
      </c>
      <c r="D15" s="1405"/>
      <c r="E15" s="1405"/>
      <c r="F15" s="1405"/>
      <c r="G15" s="1405"/>
      <c r="H15" s="1405"/>
      <c r="I15" s="1405"/>
      <c r="J15" s="1408" cm="1">
        <f t="array" ref="J15">[1]!F010Carryforward</f>
        <v>207047</v>
      </c>
      <c r="K15" s="1385">
        <v>419002</v>
      </c>
      <c r="L15" s="1405"/>
      <c r="M15" s="415" t="s">
        <v>104</v>
      </c>
    </row>
    <row r="16" spans="1:25">
      <c r="A16" s="1407" t="s">
        <v>1381</v>
      </c>
      <c r="B16" s="334"/>
      <c r="C16" s="1406" t="s">
        <v>105</v>
      </c>
      <c r="D16" s="1408">
        <f>D14</f>
        <v>227000</v>
      </c>
      <c r="E16" s="1408">
        <f t="shared" ref="E16:I16" si="3">E14</f>
        <v>38000</v>
      </c>
      <c r="F16" s="1408">
        <f t="shared" si="3"/>
        <v>0</v>
      </c>
      <c r="G16" s="1408">
        <f t="shared" si="3"/>
        <v>0</v>
      </c>
      <c r="H16" s="1408">
        <f t="shared" si="3"/>
        <v>0</v>
      </c>
      <c r="I16" s="1408">
        <f t="shared" si="3"/>
        <v>0</v>
      </c>
      <c r="J16" s="1408">
        <f>F010TotalExpPY+J15</f>
        <v>647404</v>
      </c>
      <c r="K16" s="1408">
        <f>F010TotalExp+F010Carryforward</f>
        <v>684002</v>
      </c>
      <c r="L16" s="1388">
        <f>IF(J16=K16,0,IF(J16&gt;0,(K16-J16)/J16,""))</f>
        <v>5.7000000000000002E-2</v>
      </c>
      <c r="M16" s="416" t="s">
        <v>105</v>
      </c>
    </row>
    <row r="17" spans="1:22">
      <c r="A17" s="1279"/>
      <c r="B17" s="1279"/>
      <c r="C17" s="1279"/>
      <c r="D17" s="1279"/>
      <c r="E17" s="1279"/>
      <c r="F17" s="1279"/>
      <c r="G17" s="1279"/>
      <c r="H17" s="1279"/>
      <c r="I17" s="1279"/>
      <c r="J17" s="1279"/>
      <c r="K17" s="1279"/>
      <c r="L17" s="1409"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79"/>
    </row>
    <row r="18" spans="1:22" hidden="1">
      <c r="A18" s="1279"/>
      <c r="B18" s="1279"/>
      <c r="C18" s="1279"/>
      <c r="D18" s="1279"/>
      <c r="E18" s="1279"/>
      <c r="F18" s="1279"/>
      <c r="G18" s="1279"/>
      <c r="H18" s="1279"/>
      <c r="I18" s="1279"/>
      <c r="J18" s="1279"/>
      <c r="K18" s="1279"/>
      <c r="L18" s="1279"/>
      <c r="M18" s="1279"/>
    </row>
    <row r="19" spans="1:22" hidden="1">
      <c r="A19" s="1279"/>
      <c r="B19" s="1279"/>
      <c r="C19" s="1279"/>
      <c r="D19" s="1279"/>
      <c r="E19" s="1279"/>
      <c r="F19" s="1279"/>
      <c r="G19" s="1279"/>
      <c r="H19" s="1279"/>
      <c r="I19" s="1279"/>
      <c r="J19" s="1279"/>
      <c r="K19" s="1279"/>
      <c r="L19" s="1279"/>
      <c r="M19" s="1279"/>
    </row>
    <row r="20" spans="1:22" hidden="1">
      <c r="A20" s="1279"/>
      <c r="B20" s="1279"/>
      <c r="C20" s="1279"/>
      <c r="D20" s="1279"/>
      <c r="E20" s="1279"/>
      <c r="F20" s="1279"/>
      <c r="G20" s="1279"/>
      <c r="H20" s="1279"/>
      <c r="I20" s="1279"/>
      <c r="J20" s="1279"/>
      <c r="K20" s="1279"/>
      <c r="L20" s="1279"/>
      <c r="M20" s="1279"/>
    </row>
    <row r="21" spans="1:22" hidden="1">
      <c r="A21" s="1279"/>
      <c r="B21" s="1279"/>
      <c r="C21" s="1279"/>
      <c r="D21" s="1279"/>
      <c r="E21" s="1279"/>
      <c r="F21" s="1279"/>
      <c r="G21" s="1279"/>
      <c r="H21" s="1279"/>
      <c r="I21" s="1279"/>
      <c r="J21" s="1279"/>
      <c r="K21" s="1279"/>
      <c r="L21" s="1279"/>
      <c r="M21" s="1279"/>
    </row>
    <row r="22" spans="1:22" hidden="1">
      <c r="A22" s="1279"/>
      <c r="B22" s="1279"/>
      <c r="C22" s="1279"/>
      <c r="D22" s="1279"/>
      <c r="E22" s="1279"/>
      <c r="F22" s="1279"/>
      <c r="G22" s="1279"/>
      <c r="H22" s="1279"/>
      <c r="I22" s="1279"/>
      <c r="J22" s="1279"/>
      <c r="K22" s="1279"/>
      <c r="L22" s="1279"/>
      <c r="M22" s="1279"/>
    </row>
    <row r="23" spans="1:22" hidden="1">
      <c r="A23" s="1279"/>
      <c r="B23" s="1279"/>
      <c r="C23" s="1279"/>
      <c r="D23" s="1279"/>
      <c r="E23" s="1279"/>
      <c r="F23" s="1279"/>
      <c r="G23" s="1279"/>
      <c r="H23" s="1279"/>
      <c r="I23" s="1279"/>
      <c r="J23" s="1279"/>
      <c r="K23" s="1279"/>
      <c r="L23" s="1279"/>
      <c r="M23" s="1279"/>
    </row>
    <row r="24" spans="1:22" hidden="1">
      <c r="A24" s="1279"/>
      <c r="B24" s="1279"/>
      <c r="C24" s="1279"/>
      <c r="D24" s="1279"/>
      <c r="E24" s="1279"/>
      <c r="F24" s="1279"/>
      <c r="G24" s="1279"/>
      <c r="H24" s="1279"/>
      <c r="I24" s="1279"/>
      <c r="J24" s="1279"/>
      <c r="K24" s="1279"/>
      <c r="L24" s="1279"/>
      <c r="M24" s="1279"/>
    </row>
    <row r="25" spans="1:22" hidden="1">
      <c r="A25" s="1279"/>
      <c r="B25" s="1279"/>
      <c r="C25" s="1279"/>
      <c r="D25" s="1279"/>
      <c r="E25" s="1279"/>
      <c r="F25" s="1279"/>
      <c r="G25" s="1279"/>
      <c r="H25" s="1279"/>
      <c r="I25" s="1279"/>
      <c r="J25" s="1279"/>
      <c r="K25" s="1279"/>
      <c r="L25" s="1279"/>
      <c r="M25" s="1279"/>
    </row>
    <row r="26" spans="1:22" hidden="1">
      <c r="A26" s="1279"/>
      <c r="B26" s="1279"/>
      <c r="C26" s="1279"/>
      <c r="D26" s="1279"/>
      <c r="E26" s="1279"/>
      <c r="F26" s="1279"/>
      <c r="G26" s="1279"/>
      <c r="H26" s="1279"/>
      <c r="I26" s="1279"/>
      <c r="J26" s="1279"/>
      <c r="K26" s="1279"/>
      <c r="L26" s="1279"/>
      <c r="M26" s="1279"/>
    </row>
    <row r="27" spans="1:22" ht="22.5" hidden="1" customHeight="1">
      <c r="A27" s="1279"/>
      <c r="B27" s="1279"/>
      <c r="C27" s="1279"/>
      <c r="D27" s="1279"/>
      <c r="E27" s="1279"/>
      <c r="F27" s="1279"/>
      <c r="G27" s="1279"/>
      <c r="H27" s="1279"/>
      <c r="I27" s="1279"/>
      <c r="J27" s="1279"/>
      <c r="K27" s="1279"/>
      <c r="L27" s="1279"/>
      <c r="M27" s="1279"/>
    </row>
    <row r="28" spans="1:22" ht="19.5" hidden="1" customHeight="1">
      <c r="A28" s="1279"/>
      <c r="B28" s="1279"/>
      <c r="C28" s="1279"/>
      <c r="D28" s="1279"/>
      <c r="E28" s="1279"/>
      <c r="F28" s="1279"/>
      <c r="G28" s="1279"/>
      <c r="H28" s="1279"/>
      <c r="I28" s="1279"/>
      <c r="J28" s="1279"/>
      <c r="K28" s="1279"/>
      <c r="L28" s="1279"/>
      <c r="M28" s="1279"/>
    </row>
    <row r="29" spans="1:22" ht="12.75" hidden="1" customHeight="1">
      <c r="A29" s="1279"/>
      <c r="B29" s="1279"/>
      <c r="C29" s="1279"/>
      <c r="D29" s="1279"/>
      <c r="E29" s="1279"/>
      <c r="F29" s="1279"/>
      <c r="G29" s="1279"/>
      <c r="H29" s="1279"/>
      <c r="I29" s="1279"/>
      <c r="J29" s="1279"/>
      <c r="K29" s="1279"/>
      <c r="L29" s="1279"/>
      <c r="M29" s="1279"/>
    </row>
    <row r="30" spans="1:22" ht="18.75" customHeight="1">
      <c r="A30" s="1279"/>
      <c r="B30" s="1279"/>
      <c r="C30" s="1279"/>
      <c r="D30" s="1279"/>
      <c r="E30" s="1279"/>
      <c r="F30" s="1279"/>
      <c r="G30" s="1279"/>
      <c r="H30" s="1279"/>
      <c r="I30" s="1279"/>
      <c r="J30" s="1279"/>
      <c r="K30" s="1279"/>
      <c r="L30" s="1279"/>
      <c r="M30" s="1279"/>
    </row>
    <row r="31" spans="1:22" s="134" customFormat="1" ht="13.2">
      <c r="A31" s="1615" t="s">
        <v>1055</v>
      </c>
      <c r="B31" s="1615"/>
      <c r="C31" s="1615"/>
      <c r="D31" s="1615"/>
      <c r="E31" s="1279"/>
      <c r="F31" s="96"/>
      <c r="G31" s="1279"/>
      <c r="H31" s="1279"/>
      <c r="I31" s="1279"/>
      <c r="J31" s="1279"/>
      <c r="K31" s="1279"/>
      <c r="L31" s="1279"/>
      <c r="M31" s="1279"/>
      <c r="N31" s="96"/>
      <c r="O31" s="96"/>
      <c r="P31" s="96"/>
      <c r="Q31" s="96"/>
      <c r="R31" s="96"/>
      <c r="S31" s="96"/>
      <c r="T31" s="1616"/>
      <c r="U31" s="1265"/>
      <c r="V31" s="295"/>
    </row>
    <row r="32" spans="1:22" s="134" customFormat="1" ht="25.5" customHeight="1">
      <c r="A32" s="1617" t="s">
        <v>1339</v>
      </c>
      <c r="B32" s="1618"/>
      <c r="C32" s="1429" t="s">
        <v>106</v>
      </c>
      <c r="D32" s="1410" cm="1">
        <f t="array" ref="D32">'[1]Page 3'!CSFBLBudgFY</f>
        <v>647404</v>
      </c>
      <c r="E32" s="1279"/>
      <c r="F32" s="1279"/>
      <c r="G32" s="1279"/>
      <c r="H32" s="1279"/>
      <c r="I32" s="1279"/>
      <c r="J32" s="1279"/>
      <c r="K32" s="1279"/>
      <c r="L32" s="1279"/>
      <c r="M32" s="1279"/>
      <c r="N32" s="96"/>
      <c r="O32" s="1582"/>
      <c r="P32" s="1582"/>
      <c r="Q32" s="1582"/>
      <c r="R32" s="1582"/>
      <c r="S32" s="96"/>
      <c r="T32" s="1616"/>
      <c r="U32" s="1271"/>
      <c r="V32" s="295"/>
    </row>
    <row r="33" spans="1:22" s="134" customFormat="1" ht="36" customHeight="1">
      <c r="A33" s="1619" t="s">
        <v>1340</v>
      </c>
      <c r="B33" s="1620"/>
      <c r="C33" s="1411" t="s">
        <v>107</v>
      </c>
      <c r="D33" s="1421">
        <v>214739</v>
      </c>
      <c r="E33" s="1308" t="str">
        <f>IF(AND(CSFBLCurrFY&lt;&gt;0,CSFActualCurrFY=""),"Please enter prior year CSF actual expenditures on line 11.","")</f>
        <v/>
      </c>
      <c r="F33" s="1279"/>
      <c r="G33" s="1279"/>
      <c r="H33" s="1279"/>
      <c r="I33" s="1279"/>
      <c r="J33" s="1279"/>
      <c r="K33" s="1279"/>
      <c r="L33" s="1279"/>
      <c r="M33" s="1279"/>
      <c r="N33" s="96"/>
      <c r="O33" s="96"/>
      <c r="P33" s="96"/>
      <c r="Q33" s="96"/>
      <c r="R33" s="96"/>
      <c r="S33" s="96"/>
      <c r="T33" s="96"/>
      <c r="U33" s="96"/>
      <c r="V33" s="295"/>
    </row>
    <row r="34" spans="1:22" s="134" customFormat="1" ht="24" customHeight="1">
      <c r="A34" s="1624" t="s">
        <v>978</v>
      </c>
      <c r="B34" s="1625"/>
      <c r="C34" s="1412" t="s">
        <v>108</v>
      </c>
      <c r="D34" s="1413">
        <f>D32-D33</f>
        <v>432665</v>
      </c>
      <c r="E34" s="1279"/>
      <c r="F34" s="1279"/>
      <c r="G34" s="1279"/>
      <c r="H34" s="1279"/>
      <c r="I34" s="1279"/>
      <c r="J34" s="1279"/>
      <c r="K34" s="1279"/>
      <c r="L34" s="1279"/>
      <c r="M34" s="1279"/>
      <c r="N34" s="120"/>
      <c r="O34" s="207"/>
      <c r="P34" s="207"/>
      <c r="Q34" s="207"/>
      <c r="R34" s="96"/>
      <c r="S34" s="96"/>
      <c r="T34" s="1263"/>
      <c r="U34" s="96"/>
      <c r="V34" s="295"/>
    </row>
    <row r="35" spans="1:22" s="134" customFormat="1" ht="22.5" customHeight="1">
      <c r="A35" s="1619" t="s">
        <v>1341</v>
      </c>
      <c r="B35" s="1620"/>
      <c r="C35" s="1411" t="s">
        <v>109</v>
      </c>
      <c r="D35" s="1422">
        <v>19744</v>
      </c>
      <c r="E35" s="1279"/>
      <c r="F35" s="1279"/>
      <c r="G35" s="1279"/>
      <c r="H35" s="1279"/>
      <c r="I35" s="1279"/>
      <c r="J35" s="1279"/>
      <c r="K35" s="1279"/>
      <c r="L35" s="1279"/>
      <c r="M35" s="1279"/>
      <c r="N35" s="96"/>
      <c r="O35" s="1582"/>
      <c r="P35" s="1582"/>
      <c r="Q35" s="1582"/>
      <c r="R35" s="1582"/>
      <c r="S35" s="96"/>
      <c r="T35" s="96"/>
      <c r="U35" s="96"/>
      <c r="V35" s="295"/>
    </row>
    <row r="36" spans="1:22" s="297" customFormat="1" ht="18.75" customHeight="1">
      <c r="A36" s="1414" t="s">
        <v>1337</v>
      </c>
      <c r="B36" s="1498">
        <f>CSFAllocation</f>
        <v>883</v>
      </c>
      <c r="C36" s="1411" t="s">
        <v>110</v>
      </c>
      <c r="D36" s="1422">
        <f>833*'BSA55'!I13</f>
        <v>231593</v>
      </c>
      <c r="E36" s="1308"/>
      <c r="F36" s="1279"/>
      <c r="G36" s="1279"/>
      <c r="H36" s="1279"/>
      <c r="I36" s="1415"/>
      <c r="J36" s="1415"/>
      <c r="K36" s="1279"/>
      <c r="L36" s="1279"/>
      <c r="M36" s="1415"/>
      <c r="N36" s="298"/>
      <c r="O36" s="1626"/>
      <c r="P36" s="1626"/>
      <c r="Q36" s="1626"/>
      <c r="R36" s="1626"/>
      <c r="S36" s="298"/>
      <c r="T36" s="299"/>
      <c r="U36" s="300"/>
      <c r="V36" s="301"/>
    </row>
    <row r="37" spans="1:22" s="134" customFormat="1" ht="22.5" customHeight="1">
      <c r="A37" s="1619" t="s">
        <v>1342</v>
      </c>
      <c r="B37" s="1620"/>
      <c r="C37" s="1411" t="s">
        <v>111</v>
      </c>
      <c r="D37" s="1422">
        <v>0</v>
      </c>
      <c r="E37" s="1279"/>
      <c r="F37" s="1279"/>
      <c r="G37" s="1279"/>
      <c r="H37" s="1279"/>
      <c r="I37" s="1279"/>
      <c r="J37" s="1279"/>
      <c r="K37" s="1279"/>
      <c r="L37" s="1279"/>
      <c r="M37" s="1279"/>
      <c r="N37" s="120"/>
      <c r="O37" s="1"/>
      <c r="P37" s="96"/>
      <c r="Q37" s="96"/>
      <c r="R37" s="96"/>
      <c r="S37" s="96"/>
      <c r="T37" s="1263"/>
      <c r="U37" s="1271"/>
      <c r="V37" s="295"/>
    </row>
    <row r="38" spans="1:22" s="134" customFormat="1" ht="9.75" customHeight="1">
      <c r="A38" s="1416"/>
      <c r="B38" s="206"/>
      <c r="C38" s="206"/>
      <c r="D38" s="1417"/>
      <c r="E38" s="1279"/>
      <c r="F38" s="1279"/>
      <c r="G38" s="1279"/>
      <c r="H38" s="1279"/>
      <c r="I38" s="1279"/>
      <c r="J38" s="1279"/>
      <c r="K38" s="1279"/>
      <c r="L38" s="1279"/>
      <c r="M38" s="1279"/>
      <c r="N38" s="120"/>
      <c r="O38" s="96"/>
      <c r="P38" s="1582"/>
      <c r="Q38" s="1582"/>
      <c r="R38" s="1582"/>
      <c r="S38" s="96"/>
      <c r="T38" s="1263"/>
      <c r="U38" s="1271"/>
      <c r="V38" s="295"/>
    </row>
    <row r="39" spans="1:22" s="134" customFormat="1" ht="23.25" customHeight="1" thickBot="1">
      <c r="A39" s="1621" t="s">
        <v>1395</v>
      </c>
      <c r="B39" s="1622"/>
      <c r="C39" s="1418" t="s">
        <v>112</v>
      </c>
      <c r="D39" s="1423">
        <f>SUM(D34:D37)</f>
        <v>684002</v>
      </c>
      <c r="E39" s="1279"/>
      <c r="F39" s="1279"/>
      <c r="G39" s="1279"/>
      <c r="H39" s="1279"/>
      <c r="I39" s="1279"/>
      <c r="J39" s="1279"/>
      <c r="K39" s="1279"/>
      <c r="L39" s="1279"/>
      <c r="M39" s="1279"/>
      <c r="N39" s="116"/>
      <c r="P39" s="116"/>
      <c r="Q39" s="116"/>
      <c r="R39" s="96"/>
      <c r="S39" s="96"/>
      <c r="T39" s="1263"/>
      <c r="U39" s="1271"/>
      <c r="V39" s="295"/>
    </row>
    <row r="40" spans="1:22" s="134" customFormat="1" ht="8.25" customHeight="1" thickTop="1">
      <c r="A40" s="96"/>
      <c r="B40" s="1279"/>
      <c r="C40" s="1279"/>
      <c r="D40" s="1279"/>
      <c r="E40" s="1279"/>
      <c r="F40" s="1279"/>
      <c r="G40" s="1279"/>
      <c r="H40" s="1279"/>
      <c r="I40" s="1279"/>
      <c r="J40" s="1279"/>
      <c r="K40" s="1271"/>
      <c r="L40" s="1279"/>
      <c r="M40" s="1279"/>
      <c r="N40" s="207"/>
      <c r="O40" s="96"/>
      <c r="P40" s="96"/>
      <c r="Q40" s="96"/>
      <c r="R40" s="1263"/>
      <c r="S40" s="1271"/>
      <c r="T40" s="1623"/>
      <c r="U40" s="1623"/>
      <c r="V40" s="303"/>
    </row>
    <row r="41" spans="1:22" s="134" customFormat="1" ht="13.2">
      <c r="A41" s="812" t="s">
        <v>156</v>
      </c>
      <c r="B41" s="1279"/>
      <c r="C41" s="119"/>
      <c r="D41" s="1279"/>
      <c r="E41" s="1279"/>
      <c r="F41" s="1279"/>
      <c r="G41" s="1279"/>
      <c r="H41" s="1279"/>
      <c r="I41" s="1279"/>
      <c r="J41" s="1279"/>
      <c r="K41" s="1279"/>
      <c r="L41" s="1279"/>
      <c r="M41" s="1279"/>
      <c r="N41" s="96"/>
      <c r="O41" s="304"/>
      <c r="P41" s="304"/>
      <c r="Q41" s="304"/>
      <c r="R41" s="96"/>
      <c r="S41" s="96"/>
      <c r="T41" s="96"/>
      <c r="U41" s="96"/>
      <c r="V41" s="303"/>
    </row>
    <row r="42" spans="1:22" s="134" customFormat="1" ht="13.2">
      <c r="A42" s="207" t="s">
        <v>926</v>
      </c>
      <c r="N42" s="96"/>
      <c r="O42" s="96"/>
      <c r="P42" s="96"/>
      <c r="Q42" s="96"/>
      <c r="R42" s="96"/>
      <c r="S42" s="96"/>
      <c r="T42" s="96"/>
      <c r="U42" s="96"/>
      <c r="V42" s="303"/>
    </row>
    <row r="43" spans="1:22" s="134" customFormat="1" ht="15.6">
      <c r="A43" s="306"/>
      <c r="B43" s="1289"/>
      <c r="C43" s="1289"/>
      <c r="D43" s="1289"/>
      <c r="E43" s="1289"/>
      <c r="F43" s="1289"/>
      <c r="G43" s="1289"/>
      <c r="H43" s="1289"/>
      <c r="I43" s="1289"/>
      <c r="J43" s="1289"/>
      <c r="K43" s="1289"/>
      <c r="L43" s="1289"/>
    </row>
  </sheetData>
  <sheetProtection sheet="1" formatCells="0" formatColumns="0" formatRows="0"/>
  <mergeCells count="16">
    <mergeCell ref="A37:B37"/>
    <mergeCell ref="P38:R38"/>
    <mergeCell ref="A39:B39"/>
    <mergeCell ref="T40:U40"/>
    <mergeCell ref="A33:B33"/>
    <mergeCell ref="A34:B34"/>
    <mergeCell ref="A35:B35"/>
    <mergeCell ref="O35:R35"/>
    <mergeCell ref="O36:R36"/>
    <mergeCell ref="B1:E1"/>
    <mergeCell ref="D2:L2"/>
    <mergeCell ref="J3:K3"/>
    <mergeCell ref="A31:D31"/>
    <mergeCell ref="T31:T32"/>
    <mergeCell ref="A32:B32"/>
    <mergeCell ref="O32:R32"/>
  </mergeCells>
  <conditionalFormatting sqref="K15">
    <cfRule type="containsBlanks" dxfId="30" priority="1">
      <formula>LEN(TRIM(K15))=0</formula>
    </cfRule>
  </conditionalFormatting>
  <conditionalFormatting sqref="L17">
    <cfRule type="expression" dxfId="29"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6"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zoomScaleNormal="100" zoomScaleSheetLayoutView="100" workbookViewId="0">
      <selection activeCell="L21" sqref="L21"/>
    </sheetView>
  </sheetViews>
  <sheetFormatPr defaultColWidth="8.81640625" defaultRowHeight="15"/>
  <cols>
    <col min="1" max="1" width="25.81640625" customWidth="1"/>
    <col min="2" max="2" width="12" customWidth="1"/>
    <col min="3" max="3" width="3" customWidth="1"/>
    <col min="4" max="9" width="10.81640625" customWidth="1"/>
    <col min="10" max="11" width="12.81640625" customWidth="1"/>
    <col min="12" max="14" width="10.81640625" customWidth="1"/>
    <col min="15" max="15" width="3.453125" style="290" customWidth="1"/>
    <col min="16" max="16" width="3" customWidth="1"/>
    <col min="17" max="18" width="8.81640625" customWidth="1"/>
  </cols>
  <sheetData>
    <row r="1" spans="1:16">
      <c r="A1" s="1262" t="s">
        <v>56</v>
      </c>
      <c r="B1" s="1595" t="str">
        <f>DistrictName</f>
        <v>Mary C O'Brien Accommodation District</v>
      </c>
      <c r="C1" s="1611"/>
      <c r="D1" s="1611"/>
      <c r="E1" s="1611"/>
      <c r="F1" s="307"/>
      <c r="G1" s="1262" t="s">
        <v>1</v>
      </c>
      <c r="H1" s="272" t="str">
        <f>Cover!H1</f>
        <v>Pinal</v>
      </c>
      <c r="K1" s="227" t="s">
        <v>57</v>
      </c>
      <c r="L1" s="98" t="str">
        <f>Cover!S1</f>
        <v>110100000</v>
      </c>
      <c r="M1" s="1262" t="s">
        <v>16</v>
      </c>
      <c r="N1" s="308" t="str">
        <f>Cover!C8</f>
        <v>Proposed</v>
      </c>
      <c r="O1" s="148"/>
      <c r="P1" s="148"/>
    </row>
    <row r="2" spans="1:16">
      <c r="A2" s="1297"/>
      <c r="B2" s="138"/>
      <c r="C2" s="138"/>
      <c r="D2" s="138"/>
      <c r="E2" s="138"/>
      <c r="F2" s="138"/>
      <c r="G2" s="138"/>
      <c r="H2" s="1297"/>
      <c r="I2" s="138"/>
      <c r="J2" s="138"/>
      <c r="K2" s="138"/>
      <c r="L2" s="138"/>
      <c r="M2" s="1297"/>
      <c r="N2" s="138"/>
      <c r="O2" s="1283"/>
      <c r="P2" s="138"/>
    </row>
    <row r="3" spans="1:16" ht="15.6">
      <c r="A3" s="309" t="s">
        <v>157</v>
      </c>
      <c r="B3" s="310"/>
      <c r="C3" s="97"/>
      <c r="D3" s="1638" t="s">
        <v>158</v>
      </c>
      <c r="E3" s="1638"/>
      <c r="F3" s="1638"/>
      <c r="G3" s="1638"/>
      <c r="H3" s="1638"/>
      <c r="I3" s="1638"/>
      <c r="J3" s="1638"/>
      <c r="K3" s="1638"/>
      <c r="L3" s="1638"/>
      <c r="M3" s="1638"/>
      <c r="N3" s="157"/>
      <c r="O3" s="158"/>
      <c r="P3" s="97"/>
    </row>
    <row r="4" spans="1:16" ht="24.6">
      <c r="A4" s="1469" t="s">
        <v>682</v>
      </c>
      <c r="B4" s="99"/>
      <c r="C4" s="99"/>
      <c r="D4" s="1629" t="s">
        <v>159</v>
      </c>
      <c r="E4" s="1124" t="s">
        <v>160</v>
      </c>
      <c r="F4" s="1631" t="s">
        <v>161</v>
      </c>
      <c r="G4" s="1631" t="s">
        <v>162</v>
      </c>
      <c r="H4" s="1631" t="s">
        <v>163</v>
      </c>
      <c r="I4" s="1631" t="s">
        <v>164</v>
      </c>
      <c r="J4" s="311"/>
      <c r="K4" s="312" t="s">
        <v>79</v>
      </c>
      <c r="L4" s="313"/>
      <c r="M4" s="314"/>
      <c r="N4" s="158"/>
      <c r="O4"/>
    </row>
    <row r="5" spans="1:16" ht="12" customHeight="1">
      <c r="A5" s="101"/>
      <c r="B5" s="96"/>
      <c r="C5" s="96"/>
      <c r="D5" s="1630"/>
      <c r="E5" s="1125" t="s">
        <v>165</v>
      </c>
      <c r="F5" s="1633"/>
      <c r="G5" s="1632"/>
      <c r="H5" s="1633"/>
      <c r="I5" s="1633"/>
      <c r="J5" s="1126" t="s">
        <v>166</v>
      </c>
      <c r="K5" s="4" t="s">
        <v>84</v>
      </c>
      <c r="L5" s="161" t="s">
        <v>85</v>
      </c>
      <c r="M5" s="161" t="s">
        <v>86</v>
      </c>
      <c r="N5" s="158"/>
      <c r="O5"/>
    </row>
    <row r="6" spans="1:16" ht="12" customHeight="1">
      <c r="A6" s="1292" t="s">
        <v>87</v>
      </c>
      <c r="C6" s="96"/>
      <c r="D6" s="1630"/>
      <c r="E6" s="1125" t="s">
        <v>167</v>
      </c>
      <c r="F6" s="1633"/>
      <c r="G6" s="1632"/>
      <c r="H6" s="1633"/>
      <c r="I6" s="1633"/>
      <c r="J6" s="1126" t="s">
        <v>168</v>
      </c>
      <c r="K6" s="4" t="s">
        <v>3</v>
      </c>
      <c r="L6" s="161" t="s">
        <v>3</v>
      </c>
      <c r="M6" s="161" t="s">
        <v>89</v>
      </c>
      <c r="N6" s="158"/>
      <c r="O6"/>
    </row>
    <row r="7" spans="1:16" ht="24.6">
      <c r="A7" s="167"/>
      <c r="B7" s="168"/>
      <c r="C7" s="169"/>
      <c r="D7" s="170">
        <v>6440</v>
      </c>
      <c r="E7" s="170" t="s">
        <v>169</v>
      </c>
      <c r="F7" s="4">
        <v>6655</v>
      </c>
      <c r="G7" s="170">
        <v>6700</v>
      </c>
      <c r="H7" s="170" t="s">
        <v>170</v>
      </c>
      <c r="I7" s="315" t="s">
        <v>171</v>
      </c>
      <c r="J7" s="316" t="s">
        <v>172</v>
      </c>
      <c r="K7" s="171">
        <f>PriorFiscalYear</f>
        <v>2026</v>
      </c>
      <c r="L7" s="161">
        <f>Cover!E3</f>
        <v>2027</v>
      </c>
      <c r="M7" s="170" t="s">
        <v>94</v>
      </c>
      <c r="N7" s="158"/>
      <c r="O7"/>
    </row>
    <row r="8" spans="1:16" ht="13.5" customHeight="1">
      <c r="A8" s="317" t="s">
        <v>1056</v>
      </c>
      <c r="B8" s="318"/>
      <c r="C8" s="319" t="s">
        <v>6</v>
      </c>
      <c r="D8" s="5"/>
      <c r="E8" s="5"/>
      <c r="F8" s="5"/>
      <c r="G8" s="5"/>
      <c r="H8" s="5"/>
      <c r="I8" s="5"/>
      <c r="J8" s="5"/>
      <c r="K8" s="1095">
        <f>[1]!F610Override</f>
        <v>0</v>
      </c>
      <c r="L8" s="1103">
        <f>SUM(D8:J8)</f>
        <v>0</v>
      </c>
      <c r="M8" s="1098">
        <f>IF(K8=L8,0,IF(K8&gt;0,(L8-K8)/K8,""))</f>
        <v>0</v>
      </c>
      <c r="N8" s="322" t="s">
        <v>6</v>
      </c>
      <c r="O8"/>
    </row>
    <row r="9" spans="1:16" ht="12" customHeight="1">
      <c r="A9" s="323" t="s">
        <v>173</v>
      </c>
      <c r="B9" s="1293"/>
      <c r="C9" s="324"/>
      <c r="D9" s="325"/>
      <c r="E9" s="325"/>
      <c r="F9" s="1091"/>
      <c r="G9" s="326"/>
      <c r="H9" s="1091"/>
      <c r="I9" s="1092"/>
      <c r="J9" s="1095"/>
      <c r="K9" s="1102"/>
      <c r="L9" s="1102"/>
      <c r="M9" s="1102"/>
      <c r="N9" s="1316"/>
      <c r="O9"/>
    </row>
    <row r="10" spans="1:16" ht="12" customHeight="1">
      <c r="A10" s="101" t="s">
        <v>174</v>
      </c>
      <c r="B10" s="96"/>
      <c r="C10" s="328" t="s">
        <v>8</v>
      </c>
      <c r="D10" s="37">
        <v>35000</v>
      </c>
      <c r="E10" s="37">
        <v>85000</v>
      </c>
      <c r="F10" s="1093"/>
      <c r="G10" s="38">
        <v>135000</v>
      </c>
      <c r="H10" s="1093"/>
      <c r="I10" s="1094"/>
      <c r="J10" s="1096"/>
      <c r="K10" s="1168">
        <f>[1]!F610F1000</f>
        <v>255000</v>
      </c>
      <c r="L10" s="1168">
        <f>SUM(D10:J10)</f>
        <v>255000</v>
      </c>
      <c r="M10" s="1169">
        <f>IF(K10=L10,0,IF(K10&gt;0,(L10-K10)/K10,""))</f>
        <v>0</v>
      </c>
      <c r="N10" s="1097" t="s">
        <v>8</v>
      </c>
      <c r="O10"/>
    </row>
    <row r="11" spans="1:16" ht="12" customHeight="1">
      <c r="A11" s="101" t="s">
        <v>979</v>
      </c>
      <c r="B11" s="96"/>
      <c r="D11" s="325"/>
      <c r="E11" s="325"/>
      <c r="F11" s="329"/>
      <c r="G11" s="330"/>
      <c r="H11" s="1091"/>
      <c r="I11" s="1092"/>
      <c r="J11" s="1095"/>
      <c r="K11" s="1102"/>
      <c r="L11" s="1102"/>
      <c r="M11" s="1102"/>
      <c r="N11" s="307"/>
      <c r="O11"/>
    </row>
    <row r="12" spans="1:16" ht="12" customHeight="1">
      <c r="A12" s="101" t="s">
        <v>980</v>
      </c>
      <c r="B12" s="96"/>
      <c r="C12" s="328" t="s">
        <v>22</v>
      </c>
      <c r="D12" s="12"/>
      <c r="E12" s="12">
        <v>1700</v>
      </c>
      <c r="F12" s="87">
        <v>20000</v>
      </c>
      <c r="G12" s="39">
        <v>26000</v>
      </c>
      <c r="H12" s="1093"/>
      <c r="I12" s="1094"/>
      <c r="J12" s="1096">
        <v>5000</v>
      </c>
      <c r="K12" s="1168">
        <f>[1]!F610F21002200</f>
        <v>122000</v>
      </c>
      <c r="L12" s="1168">
        <f>SUM(D12:J12)</f>
        <v>52700</v>
      </c>
      <c r="M12" s="1169">
        <f>IF(K12=L12,0,IF(K12&gt;0,(L12-K12)/K12,""))</f>
        <v>-0.56799999999999995</v>
      </c>
      <c r="N12" s="1097" t="s">
        <v>22</v>
      </c>
      <c r="O12"/>
    </row>
    <row r="13" spans="1:16" ht="12" customHeight="1">
      <c r="A13" s="101" t="s">
        <v>175</v>
      </c>
      <c r="B13" s="96"/>
      <c r="C13" s="328" t="s">
        <v>40</v>
      </c>
      <c r="D13" s="5"/>
      <c r="E13" s="332"/>
      <c r="F13" s="87">
        <v>25000</v>
      </c>
      <c r="G13" s="5">
        <v>18000</v>
      </c>
      <c r="H13" s="332"/>
      <c r="I13" s="5"/>
      <c r="J13" s="5"/>
      <c r="K13" s="1099">
        <f>[1]!F610F2300240025002900</f>
        <v>90000</v>
      </c>
      <c r="L13" s="1100">
        <f t="shared" ref="L13:L18" si="0">SUM(D13:J13)</f>
        <v>43000</v>
      </c>
      <c r="M13" s="1101">
        <f t="shared" ref="M13:M18" si="1">IF(K13=L13,0,IF(K13&gt;0,(L13-K13)/K13,""))</f>
        <v>-0.52200000000000002</v>
      </c>
      <c r="N13" s="322" t="s">
        <v>40</v>
      </c>
      <c r="O13"/>
    </row>
    <row r="14" spans="1:16" ht="12" customHeight="1">
      <c r="A14" s="101" t="s">
        <v>981</v>
      </c>
      <c r="B14" s="96"/>
      <c r="C14" s="328" t="s">
        <v>98</v>
      </c>
      <c r="D14" s="5"/>
      <c r="E14" s="332"/>
      <c r="F14" s="87"/>
      <c r="G14" s="5">
        <v>45000</v>
      </c>
      <c r="H14" s="332"/>
      <c r="I14" s="332"/>
      <c r="J14" s="5">
        <v>500</v>
      </c>
      <c r="K14" s="320">
        <f>[1]!F610F2600</f>
        <v>75000</v>
      </c>
      <c r="L14" s="321">
        <f t="shared" si="0"/>
        <v>45500</v>
      </c>
      <c r="M14" s="193">
        <f t="shared" si="1"/>
        <v>-0.39300000000000002</v>
      </c>
      <c r="N14" s="322" t="s">
        <v>98</v>
      </c>
      <c r="O14"/>
    </row>
    <row r="15" spans="1:16" ht="12" customHeight="1">
      <c r="A15" s="101" t="s">
        <v>982</v>
      </c>
      <c r="B15" s="96"/>
      <c r="C15" s="328" t="s">
        <v>99</v>
      </c>
      <c r="D15" s="5"/>
      <c r="E15" s="332"/>
      <c r="F15" s="87">
        <v>2000</v>
      </c>
      <c r="G15" s="5">
        <v>215000</v>
      </c>
      <c r="H15" s="332"/>
      <c r="I15" s="332"/>
      <c r="J15" s="5"/>
      <c r="K15" s="333">
        <f>[1]!F610F2700</f>
        <v>255000</v>
      </c>
      <c r="L15" s="321">
        <f t="shared" si="0"/>
        <v>217000</v>
      </c>
      <c r="M15" s="193">
        <f t="shared" si="1"/>
        <v>-0.14899999999999999</v>
      </c>
      <c r="N15" s="322" t="s">
        <v>99</v>
      </c>
      <c r="O15"/>
    </row>
    <row r="16" spans="1:16" ht="12" customHeight="1">
      <c r="A16" s="101" t="s">
        <v>983</v>
      </c>
      <c r="B16" s="96"/>
      <c r="C16" s="328" t="s">
        <v>100</v>
      </c>
      <c r="D16" s="5"/>
      <c r="E16" s="332"/>
      <c r="F16" s="87"/>
      <c r="G16" s="5">
        <v>82000</v>
      </c>
      <c r="H16" s="332"/>
      <c r="I16" s="332"/>
      <c r="J16" s="5"/>
      <c r="K16" s="333">
        <f>[1]!F610F3000</f>
        <v>100000</v>
      </c>
      <c r="L16" s="321">
        <f t="shared" si="0"/>
        <v>82000</v>
      </c>
      <c r="M16" s="193">
        <f t="shared" si="1"/>
        <v>-0.18</v>
      </c>
      <c r="N16" s="322" t="s">
        <v>100</v>
      </c>
      <c r="O16"/>
    </row>
    <row r="17" spans="1:16" ht="12" customHeight="1">
      <c r="A17" s="101" t="s">
        <v>984</v>
      </c>
      <c r="B17" s="96"/>
      <c r="C17" s="328" t="s">
        <v>102</v>
      </c>
      <c r="D17" s="5"/>
      <c r="E17" s="332"/>
      <c r="F17" s="87"/>
      <c r="G17" s="5">
        <v>0</v>
      </c>
      <c r="H17" s="332"/>
      <c r="I17" s="332"/>
      <c r="J17" s="5"/>
      <c r="K17" s="333">
        <f>[1]!F610F4000</f>
        <v>100000</v>
      </c>
      <c r="L17" s="321">
        <f t="shared" si="0"/>
        <v>0</v>
      </c>
      <c r="M17" s="193">
        <f t="shared" si="1"/>
        <v>-1</v>
      </c>
      <c r="N17" s="322" t="s">
        <v>102</v>
      </c>
      <c r="O17"/>
    </row>
    <row r="18" spans="1:16" ht="12" customHeight="1">
      <c r="A18" s="101" t="s">
        <v>985</v>
      </c>
      <c r="B18" s="206"/>
      <c r="C18" s="182" t="s">
        <v>103</v>
      </c>
      <c r="D18" s="1323"/>
      <c r="E18" s="1323"/>
      <c r="F18" s="1323"/>
      <c r="G18" s="1323"/>
      <c r="H18" s="1324"/>
      <c r="I18" s="1324"/>
      <c r="J18" s="1323"/>
      <c r="K18" s="1325">
        <f>[1]!F610F5000</f>
        <v>0</v>
      </c>
      <c r="L18" s="321">
        <f t="shared" si="0"/>
        <v>0</v>
      </c>
      <c r="M18" s="193">
        <f t="shared" si="1"/>
        <v>0</v>
      </c>
      <c r="N18" s="322" t="s">
        <v>103</v>
      </c>
      <c r="O18"/>
    </row>
    <row r="19" spans="1:16" ht="12" customHeight="1">
      <c r="A19" s="101" t="s">
        <v>915</v>
      </c>
      <c r="B19" s="206"/>
      <c r="C19" s="1436" t="s">
        <v>104</v>
      </c>
      <c r="D19" s="1103">
        <f>D10+SUM(D12:D18)</f>
        <v>35000</v>
      </c>
      <c r="E19" s="1103">
        <f t="shared" ref="E19:L19" si="2">E10+SUM(E12:E18)</f>
        <v>86700</v>
      </c>
      <c r="F19" s="1103">
        <f t="shared" si="2"/>
        <v>47000</v>
      </c>
      <c r="G19" s="1103">
        <f t="shared" si="2"/>
        <v>521000</v>
      </c>
      <c r="H19" s="1103">
        <f t="shared" si="2"/>
        <v>0</v>
      </c>
      <c r="I19" s="1103">
        <f t="shared" si="2"/>
        <v>0</v>
      </c>
      <c r="J19" s="1103">
        <f t="shared" si="2"/>
        <v>5500</v>
      </c>
      <c r="K19" s="1103">
        <f t="shared" si="2"/>
        <v>997000</v>
      </c>
      <c r="L19" s="1103">
        <f t="shared" si="2"/>
        <v>695200</v>
      </c>
      <c r="M19" s="1326">
        <f>IF(K19=L19,0,IF(K19&gt;0,(L19-K19)/K19,""))</f>
        <v>-0.30299999999999999</v>
      </c>
      <c r="N19" s="322" t="s">
        <v>104</v>
      </c>
      <c r="O19"/>
    </row>
    <row r="20" spans="1:16" ht="12" customHeight="1">
      <c r="A20" s="101" t="s">
        <v>1322</v>
      </c>
      <c r="B20" s="206"/>
      <c r="C20" s="1435" t="s">
        <v>105</v>
      </c>
      <c r="D20" s="1323"/>
      <c r="E20" s="1323"/>
      <c r="F20" s="1323"/>
      <c r="G20" s="1323"/>
      <c r="H20" s="1323"/>
      <c r="I20" s="1323"/>
      <c r="J20" s="1323"/>
      <c r="K20" s="1103">
        <f>[1]!F610Carryforward</f>
        <v>757195</v>
      </c>
      <c r="L20" s="1443">
        <v>1129153</v>
      </c>
      <c r="M20" s="1323"/>
      <c r="N20" s="322" t="s">
        <v>105</v>
      </c>
      <c r="O20"/>
    </row>
    <row r="21" spans="1:16" ht="24" customHeight="1">
      <c r="A21" s="1628" t="s">
        <v>913</v>
      </c>
      <c r="B21" s="1622"/>
      <c r="C21" s="1445" t="s">
        <v>106</v>
      </c>
      <c r="D21" s="1428">
        <f>D19</f>
        <v>35000</v>
      </c>
      <c r="E21" s="1428">
        <f t="shared" ref="E21:J21" si="3">E19</f>
        <v>86700</v>
      </c>
      <c r="F21" s="1428">
        <f t="shared" si="3"/>
        <v>47000</v>
      </c>
      <c r="G21" s="1428">
        <f t="shared" si="3"/>
        <v>521000</v>
      </c>
      <c r="H21" s="1428">
        <f t="shared" si="3"/>
        <v>0</v>
      </c>
      <c r="I21" s="1428">
        <f t="shared" si="3"/>
        <v>0</v>
      </c>
      <c r="J21" s="1428">
        <f t="shared" si="3"/>
        <v>5500</v>
      </c>
      <c r="K21" s="1428">
        <f>K19+K20</f>
        <v>1754195</v>
      </c>
      <c r="L21" s="1428">
        <f>F610TotalBudgFY+F610Carryforward</f>
        <v>1824353</v>
      </c>
      <c r="M21" s="1326">
        <f>IF(K21=L21,0,IF(K21&gt;0,(L21-K21)/K21,""))</f>
        <v>0.04</v>
      </c>
      <c r="N21" s="322" t="s">
        <v>106</v>
      </c>
    </row>
    <row r="22" spans="1:16" ht="12" customHeight="1">
      <c r="A22" s="96"/>
      <c r="B22" s="96"/>
      <c r="C22" s="335"/>
      <c r="D22" s="1271"/>
      <c r="F22" s="1639"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39"/>
      <c r="H22" s="1639"/>
      <c r="I22" s="1639"/>
      <c r="J22" s="1639"/>
      <c r="K22" s="1639"/>
      <c r="L22" s="1639"/>
      <c r="M22" s="1639"/>
      <c r="N22" s="1300"/>
      <c r="O22" s="1300"/>
      <c r="P22" s="1300"/>
    </row>
    <row r="23" spans="1:16" ht="12" customHeight="1">
      <c r="O23" s="184"/>
      <c r="P23" s="328"/>
    </row>
    <row r="24" spans="1:16" ht="11.25" customHeight="1">
      <c r="A24" s="1636" t="s">
        <v>986</v>
      </c>
      <c r="B24" s="1637"/>
      <c r="C24" s="1637"/>
      <c r="D24" s="1637"/>
      <c r="E24" s="180" t="s">
        <v>176</v>
      </c>
      <c r="F24" s="119" t="s">
        <v>177</v>
      </c>
      <c r="G24" s="119"/>
      <c r="H24" s="119"/>
      <c r="I24" s="119"/>
      <c r="J24" s="119"/>
      <c r="K24" s="1291"/>
      <c r="L24" s="1344"/>
    </row>
    <row r="25" spans="1:16" ht="11.25" customHeight="1">
      <c r="A25" s="1637"/>
      <c r="B25" s="1637"/>
      <c r="C25" s="1637"/>
      <c r="D25" s="1637"/>
      <c r="G25" s="1289"/>
      <c r="H25" s="1289"/>
      <c r="I25" s="1289"/>
      <c r="J25" s="1289"/>
      <c r="K25" s="1289"/>
      <c r="L25" s="4"/>
    </row>
    <row r="26" spans="1:16" ht="12.75" customHeight="1">
      <c r="A26" s="1637"/>
      <c r="B26" s="1637"/>
      <c r="C26" s="1637"/>
      <c r="D26" s="1637"/>
      <c r="F26" s="96" t="s">
        <v>178</v>
      </c>
      <c r="G26" s="96"/>
      <c r="H26" s="96"/>
      <c r="I26" s="96"/>
      <c r="J26" s="96"/>
      <c r="L26" s="96"/>
      <c r="M26" s="96"/>
      <c r="N26" s="96"/>
    </row>
    <row r="27" spans="1:16" ht="12" customHeight="1">
      <c r="A27" s="1289"/>
      <c r="B27" s="1289"/>
      <c r="C27" s="1289"/>
      <c r="D27" s="1289"/>
      <c r="F27" s="96" t="s">
        <v>179</v>
      </c>
      <c r="G27" s="96"/>
      <c r="H27" s="96"/>
      <c r="I27" s="96"/>
      <c r="J27" s="96"/>
      <c r="K27" s="28">
        <v>82000</v>
      </c>
      <c r="M27" s="96"/>
      <c r="N27" s="336"/>
    </row>
    <row r="28" spans="1:16" ht="11.25" customHeight="1">
      <c r="A28" s="96" t="s">
        <v>928</v>
      </c>
      <c r="B28" s="96"/>
      <c r="C28" s="96"/>
      <c r="D28" s="96"/>
      <c r="E28" s="96"/>
      <c r="G28" s="96"/>
      <c r="H28" s="96"/>
      <c r="I28" s="96"/>
      <c r="J28" s="96"/>
      <c r="K28" s="96"/>
      <c r="L28" s="1279"/>
      <c r="M28" s="1279"/>
      <c r="N28" s="1279"/>
    </row>
    <row r="29" spans="1:16" ht="11.25" customHeight="1">
      <c r="A29" s="96"/>
      <c r="B29" s="1634" t="s">
        <v>180</v>
      </c>
      <c r="C29" s="96"/>
      <c r="D29" s="1634"/>
      <c r="G29" s="1300"/>
      <c r="H29" s="1300"/>
      <c r="I29" s="1300"/>
      <c r="J29" s="1300"/>
      <c r="K29" s="1300"/>
      <c r="L29" s="96"/>
    </row>
    <row r="30" spans="1:16" ht="11.25" customHeight="1">
      <c r="A30" s="96"/>
      <c r="B30" s="1635"/>
      <c r="C30" s="96"/>
      <c r="D30" s="1634"/>
      <c r="H30" s="1300"/>
      <c r="I30" s="1300"/>
      <c r="J30" s="1300"/>
      <c r="K30" s="1300"/>
    </row>
    <row r="31" spans="1:16" ht="11.25" customHeight="1">
      <c r="A31" s="96" t="s">
        <v>987</v>
      </c>
      <c r="B31" s="27">
        <v>0</v>
      </c>
      <c r="C31" s="175"/>
      <c r="D31" s="1265"/>
      <c r="E31" s="180" t="s">
        <v>181</v>
      </c>
      <c r="F31" s="1627" t="s">
        <v>182</v>
      </c>
      <c r="G31" s="1627"/>
      <c r="H31" s="1627"/>
      <c r="I31" s="1627"/>
      <c r="J31" s="1627"/>
      <c r="K31" s="1300"/>
      <c r="L31" s="337"/>
      <c r="M31" s="1300"/>
      <c r="N31" s="1300"/>
      <c r="O31" s="1"/>
    </row>
    <row r="32" spans="1:16" ht="11.25" customHeight="1">
      <c r="A32" s="96" t="s">
        <v>183</v>
      </c>
      <c r="B32" s="18">
        <v>5000</v>
      </c>
      <c r="C32" s="175"/>
      <c r="D32" s="1265"/>
      <c r="F32" s="1627"/>
      <c r="G32" s="1627"/>
      <c r="H32" s="1627"/>
      <c r="I32" s="1627"/>
      <c r="J32" s="1627"/>
      <c r="K32" s="28"/>
      <c r="M32" s="1300"/>
      <c r="N32" s="1300"/>
    </row>
    <row r="33" spans="1:16" ht="11.25" customHeight="1">
      <c r="A33" s="96" t="s">
        <v>988</v>
      </c>
      <c r="B33" s="18">
        <v>81700</v>
      </c>
      <c r="C33" s="175"/>
      <c r="D33" s="1265"/>
      <c r="G33" s="1300"/>
      <c r="H33" s="1300"/>
      <c r="I33" s="1300"/>
      <c r="J33" s="1300"/>
      <c r="K33" s="1300"/>
      <c r="L33" s="1300"/>
      <c r="M33" s="1300"/>
      <c r="N33" s="1300"/>
    </row>
    <row r="34" spans="1:16" ht="11.25" customHeight="1">
      <c r="A34" s="96" t="s">
        <v>989</v>
      </c>
      <c r="B34" s="24">
        <v>426000</v>
      </c>
      <c r="C34" s="175"/>
      <c r="D34" s="1265"/>
      <c r="G34" s="339"/>
      <c r="H34" s="339"/>
      <c r="I34" s="339"/>
      <c r="J34" s="339"/>
      <c r="K34" s="339"/>
      <c r="L34" s="340"/>
      <c r="M34" s="1300"/>
      <c r="N34" s="1300"/>
    </row>
    <row r="35" spans="1:16" ht="12" customHeight="1">
      <c r="A35" s="96" t="s">
        <v>184</v>
      </c>
      <c r="B35" s="18">
        <v>70000</v>
      </c>
      <c r="C35" s="175"/>
      <c r="D35" s="1265"/>
      <c r="E35" s="96"/>
      <c r="G35" s="339"/>
      <c r="H35" s="339"/>
      <c r="I35" s="339"/>
      <c r="J35" s="339"/>
      <c r="K35" s="339"/>
      <c r="M35" s="1300"/>
      <c r="N35" s="1300"/>
    </row>
    <row r="36" spans="1:16" s="343" customFormat="1" ht="10.5" customHeight="1">
      <c r="A36" s="96" t="s">
        <v>990</v>
      </c>
      <c r="B36" s="1434">
        <v>25000</v>
      </c>
      <c r="C36" s="341"/>
      <c r="D36" s="342"/>
      <c r="E36" s="1302"/>
      <c r="F36"/>
      <c r="G36" s="341"/>
      <c r="H36" s="1302"/>
      <c r="I36" s="1302"/>
      <c r="J36" s="1302"/>
      <c r="K36" s="1302"/>
      <c r="L36" s="1302"/>
    </row>
    <row r="37" spans="1:16" ht="10.5" customHeight="1">
      <c r="A37" s="96"/>
      <c r="B37" s="96"/>
      <c r="C37" s="175"/>
      <c r="D37" s="96"/>
      <c r="E37" s="96"/>
      <c r="G37" s="177"/>
      <c r="H37" s="96"/>
      <c r="I37" s="96"/>
      <c r="J37" s="96"/>
      <c r="K37" s="96"/>
      <c r="L37" s="96"/>
    </row>
    <row r="38" spans="1:16" ht="11.25" customHeight="1">
      <c r="A38" s="96" t="s">
        <v>185</v>
      </c>
      <c r="B38" s="96"/>
      <c r="C38" s="177"/>
      <c r="D38" s="33"/>
      <c r="E38" s="96" t="s">
        <v>186</v>
      </c>
      <c r="G38" s="33"/>
      <c r="H38" s="96" t="s">
        <v>187</v>
      </c>
      <c r="I38" s="96"/>
      <c r="J38" s="33"/>
      <c r="K38" t="s">
        <v>44</v>
      </c>
    </row>
    <row r="39" spans="1:16" ht="6" customHeight="1">
      <c r="A39" s="96"/>
      <c r="B39" s="96"/>
      <c r="C39" s="175"/>
      <c r="D39" s="96"/>
      <c r="E39" s="96"/>
      <c r="G39" s="96"/>
      <c r="H39" s="96"/>
      <c r="I39" s="96"/>
      <c r="J39" s="344"/>
    </row>
    <row r="40" spans="1:16" ht="11.25" customHeight="1">
      <c r="A40" s="96" t="s">
        <v>188</v>
      </c>
      <c r="B40" s="96"/>
      <c r="C40" s="177"/>
      <c r="D40" s="33"/>
      <c r="E40" s="96" t="s">
        <v>189</v>
      </c>
      <c r="G40" s="33"/>
      <c r="H40" s="96" t="s">
        <v>190</v>
      </c>
      <c r="I40" s="96"/>
      <c r="J40" s="33"/>
      <c r="K40" t="s">
        <v>44</v>
      </c>
    </row>
    <row r="41" spans="1:16" ht="11.25" customHeight="1">
      <c r="A41" s="96"/>
      <c r="B41" s="96"/>
      <c r="C41" s="175"/>
      <c r="G41" s="177"/>
    </row>
    <row r="42" spans="1:16" ht="11.25" customHeight="1">
      <c r="A42" s="96"/>
      <c r="B42" s="96"/>
      <c r="C42" s="175"/>
      <c r="G42" s="177"/>
    </row>
    <row r="43" spans="1:16" ht="11.25" customHeight="1">
      <c r="A43" s="96"/>
      <c r="B43" s="96"/>
      <c r="C43" s="175"/>
      <c r="G43" s="177"/>
      <c r="P43" s="328"/>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6"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8"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E26" sqref="E26"/>
    </sheetView>
  </sheetViews>
  <sheetFormatPr defaultColWidth="8.81640625" defaultRowHeight="15"/>
  <cols>
    <col min="1" max="1" width="20" customWidth="1"/>
    <col min="2" max="2" width="19.81640625" customWidth="1"/>
    <col min="3" max="3" width="3" customWidth="1"/>
    <col min="4" max="5" width="10.81640625" customWidth="1"/>
    <col min="12" max="12" width="2.81640625" customWidth="1"/>
    <col min="13" max="13" width="7.54296875" customWidth="1"/>
    <col min="14" max="14" width="11.81640625" customWidth="1"/>
  </cols>
  <sheetData>
    <row r="1" spans="1:15">
      <c r="A1" s="1262" t="s">
        <v>140</v>
      </c>
      <c r="B1" s="1595" t="str">
        <f>DistrictName</f>
        <v>Mary C O'Brien Accommodation District</v>
      </c>
      <c r="C1" s="1605"/>
      <c r="D1" s="1605"/>
      <c r="E1" s="1605"/>
      <c r="F1" s="138"/>
      <c r="G1" s="1262" t="s">
        <v>1</v>
      </c>
      <c r="H1" s="1261" t="str">
        <f>Cover!H1</f>
        <v>Pinal</v>
      </c>
      <c r="I1" s="1283"/>
      <c r="J1" s="1262" t="s">
        <v>57</v>
      </c>
      <c r="K1" s="98" t="str">
        <f>Cover!S1</f>
        <v>110100000</v>
      </c>
      <c r="L1" s="148"/>
      <c r="M1" s="1262" t="s">
        <v>16</v>
      </c>
      <c r="N1" s="1259" t="str">
        <f>Cover!C8</f>
        <v>Proposed</v>
      </c>
    </row>
    <row r="2" spans="1:15" ht="15.6">
      <c r="A2" s="1297"/>
      <c r="B2" s="138"/>
      <c r="C2" s="138"/>
      <c r="D2" s="138"/>
      <c r="E2" s="138"/>
      <c r="F2" s="138"/>
      <c r="G2" s="1297"/>
      <c r="H2" s="138"/>
      <c r="I2" s="138"/>
      <c r="J2" s="138"/>
      <c r="K2" s="1297"/>
      <c r="L2" s="138"/>
      <c r="O2" s="97"/>
    </row>
    <row r="3" spans="1:15" ht="15.6">
      <c r="A3" s="345" t="s">
        <v>191</v>
      </c>
      <c r="B3" s="345"/>
      <c r="C3" s="345"/>
      <c r="D3" s="345"/>
      <c r="E3" s="345"/>
      <c r="F3" s="345"/>
      <c r="G3" s="345"/>
      <c r="H3" s="345"/>
      <c r="I3" s="345"/>
      <c r="J3" s="1294"/>
      <c r="K3" s="1294"/>
      <c r="L3" s="4"/>
      <c r="M3" s="4"/>
      <c r="N3" s="4"/>
      <c r="O3" s="97"/>
    </row>
    <row r="4" spans="1:15" ht="15.6">
      <c r="A4" s="269"/>
      <c r="B4" s="269"/>
      <c r="C4" s="269"/>
      <c r="D4" s="1294"/>
      <c r="E4" s="346"/>
      <c r="F4" s="347"/>
      <c r="G4" s="347"/>
      <c r="H4" s="347"/>
      <c r="I4" s="347"/>
      <c r="J4" s="347"/>
      <c r="K4" s="347"/>
      <c r="L4" s="4"/>
      <c r="M4" s="348"/>
      <c r="N4" s="348"/>
      <c r="O4" s="97"/>
    </row>
    <row r="5" spans="1:15">
      <c r="A5" s="1469" t="s">
        <v>682</v>
      </c>
      <c r="B5" s="349"/>
      <c r="C5" s="350"/>
      <c r="D5" s="1649" t="s">
        <v>180</v>
      </c>
      <c r="E5" s="1650"/>
      <c r="F5" s="1651" t="s">
        <v>192</v>
      </c>
      <c r="G5" s="1651"/>
      <c r="H5" s="1651" t="s">
        <v>193</v>
      </c>
      <c r="I5" s="1651"/>
      <c r="J5" s="1640" t="s">
        <v>194</v>
      </c>
      <c r="K5" s="1641"/>
      <c r="L5" s="351"/>
      <c r="M5" s="175"/>
    </row>
    <row r="6" spans="1:15">
      <c r="A6" s="352" t="s">
        <v>87</v>
      </c>
      <c r="C6" s="353"/>
      <c r="D6" s="1644" t="s">
        <v>195</v>
      </c>
      <c r="E6" s="1645"/>
      <c r="F6" s="1646" t="s">
        <v>196</v>
      </c>
      <c r="G6" s="1646"/>
      <c r="H6" s="1646" t="s">
        <v>197</v>
      </c>
      <c r="I6" s="1646"/>
      <c r="J6" s="1642" t="s">
        <v>198</v>
      </c>
      <c r="K6" s="1643"/>
      <c r="L6" s="1265"/>
    </row>
    <row r="7" spans="1:15">
      <c r="A7" s="354"/>
      <c r="B7" s="355"/>
      <c r="C7" s="356"/>
      <c r="D7" s="284" t="s">
        <v>129</v>
      </c>
      <c r="E7" s="357" t="s">
        <v>130</v>
      </c>
      <c r="F7" s="284" t="s">
        <v>129</v>
      </c>
      <c r="G7" s="357" t="s">
        <v>130</v>
      </c>
      <c r="H7" s="284" t="s">
        <v>129</v>
      </c>
      <c r="I7" s="357" t="s">
        <v>130</v>
      </c>
      <c r="J7" s="358" t="s">
        <v>129</v>
      </c>
      <c r="K7" s="359" t="s">
        <v>130</v>
      </c>
      <c r="L7" s="96"/>
      <c r="M7" s="177"/>
    </row>
    <row r="8" spans="1:15" ht="13.5" customHeight="1">
      <c r="A8" s="360" t="s">
        <v>1057</v>
      </c>
      <c r="B8" s="361"/>
      <c r="C8" s="362" t="s">
        <v>6</v>
      </c>
      <c r="D8" s="363">
        <f>F610TotalCurrFY</f>
        <v>997000</v>
      </c>
      <c r="E8" s="364">
        <f>F610TotalBudgFY</f>
        <v>695200</v>
      </c>
      <c r="F8" s="364">
        <f>[1]!F630TotalBudgFY</f>
        <v>0</v>
      </c>
      <c r="G8" s="93"/>
      <c r="H8" s="364">
        <f>[1]!F695TotalBudgFY</f>
        <v>0</v>
      </c>
      <c r="I8" s="93"/>
      <c r="J8" s="365">
        <f>[1]!F620TotalBudgFY</f>
        <v>0</v>
      </c>
      <c r="K8" s="54"/>
      <c r="L8" s="366" t="s">
        <v>6</v>
      </c>
      <c r="M8" s="175"/>
    </row>
    <row r="9" spans="1:15" ht="13.5" customHeight="1">
      <c r="A9" s="367" t="s">
        <v>1058</v>
      </c>
      <c r="B9" s="349"/>
      <c r="C9" s="362"/>
      <c r="D9" s="286"/>
      <c r="E9" s="368"/>
      <c r="F9" s="368"/>
      <c r="G9" s="369"/>
      <c r="H9" s="368"/>
      <c r="I9" s="369"/>
      <c r="J9" s="370"/>
      <c r="K9" s="371"/>
      <c r="L9" s="366"/>
      <c r="M9" s="177"/>
    </row>
    <row r="10" spans="1:15" ht="13.5" customHeight="1">
      <c r="A10" s="372" t="s">
        <v>991</v>
      </c>
      <c r="B10" s="271"/>
      <c r="C10" s="1332" t="s">
        <v>8</v>
      </c>
      <c r="D10" s="1343">
        <f>[1]!F610BudgFYO6150</f>
        <v>0</v>
      </c>
      <c r="E10" s="1333"/>
      <c r="F10" s="364">
        <f>[1]!F630BudgFYO6150</f>
        <v>0</v>
      </c>
      <c r="G10" s="40"/>
      <c r="H10" s="364">
        <f>[1]!F695BudgFYO6150</f>
        <v>0</v>
      </c>
      <c r="I10" s="40"/>
      <c r="J10" s="364">
        <f>[1]!F620BudgFYO6150</f>
        <v>0</v>
      </c>
      <c r="K10" s="49"/>
      <c r="L10" s="305" t="s">
        <v>8</v>
      </c>
      <c r="M10" s="177"/>
    </row>
    <row r="11" spans="1:15" ht="13.5" customHeight="1">
      <c r="A11" s="372" t="s">
        <v>992</v>
      </c>
      <c r="B11" s="271"/>
      <c r="C11" s="1332" t="s">
        <v>22</v>
      </c>
      <c r="D11" s="1337">
        <f>[1]!F610BudgFYO6200</f>
        <v>0</v>
      </c>
      <c r="E11" s="1334"/>
      <c r="F11" s="291">
        <f>[1]!F630BudgFYO6200</f>
        <v>0</v>
      </c>
      <c r="G11" s="41"/>
      <c r="H11" s="291">
        <f>[1]!F695BudgFYO6200</f>
        <v>0</v>
      </c>
      <c r="I11" s="41"/>
      <c r="J11" s="291">
        <f>[1]!F620BudgFYO6200</f>
        <v>0</v>
      </c>
      <c r="K11" s="22"/>
      <c r="L11" s="305" t="s">
        <v>22</v>
      </c>
      <c r="M11" s="184"/>
    </row>
    <row r="12" spans="1:15" ht="13.5" customHeight="1">
      <c r="A12" s="372" t="s">
        <v>993</v>
      </c>
      <c r="B12" s="271"/>
      <c r="C12" s="1332" t="s">
        <v>40</v>
      </c>
      <c r="D12" s="1337">
        <f>[1]!F610BudgFYO6450</f>
        <v>0</v>
      </c>
      <c r="E12" s="1334"/>
      <c r="F12" s="291">
        <f>[1]!F630BudgFYO6450</f>
        <v>0</v>
      </c>
      <c r="G12" s="41"/>
      <c r="H12" s="291">
        <f>[1]!F695BudgFYO6450</f>
        <v>0</v>
      </c>
      <c r="I12" s="41"/>
      <c r="J12" s="291">
        <f>[1]!F620BudgFYO6450</f>
        <v>0</v>
      </c>
      <c r="K12" s="22"/>
      <c r="L12" s="305" t="s">
        <v>40</v>
      </c>
      <c r="M12" s="184"/>
    </row>
    <row r="13" spans="1:15" ht="13.5" customHeight="1">
      <c r="A13" s="372" t="s">
        <v>994</v>
      </c>
      <c r="B13" s="271"/>
      <c r="C13" s="1332" t="s">
        <v>98</v>
      </c>
      <c r="D13" s="1337">
        <f>'[1]Page 5'!$E$13</f>
        <v>45000</v>
      </c>
      <c r="E13" s="1334">
        <v>47000</v>
      </c>
      <c r="F13" s="1520">
        <f>'[1]Page 5'!$G$13</f>
        <v>0</v>
      </c>
      <c r="G13" s="41"/>
      <c r="H13" s="1520">
        <f>'[1]Page 5'!$I$13</f>
        <v>0</v>
      </c>
      <c r="I13" s="41"/>
      <c r="J13" s="1520">
        <f>'[1]Page 5'!$K$13</f>
        <v>0</v>
      </c>
      <c r="K13" s="22"/>
      <c r="L13" s="305" t="s">
        <v>98</v>
      </c>
      <c r="M13" s="184"/>
    </row>
    <row r="14" spans="1:15" ht="13.5" customHeight="1">
      <c r="A14" s="372" t="s">
        <v>995</v>
      </c>
      <c r="B14" s="271"/>
      <c r="C14" s="1332" t="s">
        <v>99</v>
      </c>
      <c r="D14" s="1337">
        <f>[1]!F610BudgFYO6710</f>
        <v>0</v>
      </c>
      <c r="E14" s="1334"/>
      <c r="F14" s="291">
        <f>[1]!F630BudgFYO6710</f>
        <v>0</v>
      </c>
      <c r="G14" s="41"/>
      <c r="H14" s="291">
        <f>[1]!F695BudgFYO6710</f>
        <v>0</v>
      </c>
      <c r="I14" s="41"/>
      <c r="J14" s="291">
        <f>[1]!F620BudgFYO6710</f>
        <v>0</v>
      </c>
      <c r="K14" s="22"/>
      <c r="L14" s="305" t="s">
        <v>99</v>
      </c>
      <c r="M14" s="184"/>
    </row>
    <row r="15" spans="1:15" ht="13.5" customHeight="1">
      <c r="A15" s="372" t="s">
        <v>996</v>
      </c>
      <c r="B15" s="271"/>
      <c r="C15" s="1332" t="s">
        <v>100</v>
      </c>
      <c r="D15" s="1337">
        <f>[1]!F610BudgFYO6720</f>
        <v>0</v>
      </c>
      <c r="E15" s="1334"/>
      <c r="F15" s="291">
        <f>[1]!F630BudgFYO6720</f>
        <v>0</v>
      </c>
      <c r="G15" s="41"/>
      <c r="H15" s="291">
        <f>[1]!F695BudgFYO6720</f>
        <v>0</v>
      </c>
      <c r="I15" s="41"/>
      <c r="J15" s="291">
        <f>[1]!F620BudgFYO6720</f>
        <v>0</v>
      </c>
      <c r="K15" s="22"/>
      <c r="L15" s="305" t="s">
        <v>100</v>
      </c>
      <c r="M15" s="177"/>
    </row>
    <row r="16" spans="1:15" ht="13.5" customHeight="1">
      <c r="A16" s="372" t="s">
        <v>997</v>
      </c>
      <c r="B16" s="271"/>
      <c r="C16" s="1332" t="s">
        <v>102</v>
      </c>
      <c r="D16" s="1337">
        <f>[1]!F610BudgFYO6731</f>
        <v>700000</v>
      </c>
      <c r="E16" s="1335">
        <f>F610O6731</f>
        <v>426000</v>
      </c>
      <c r="F16" s="291">
        <f>[1]!F630BudgFYO6731</f>
        <v>0</v>
      </c>
      <c r="G16" s="41"/>
      <c r="H16" s="291">
        <f>[1]!F695BudgFYO6731</f>
        <v>0</v>
      </c>
      <c r="I16" s="41"/>
      <c r="J16" s="291">
        <f>[1]!F620BudgFYO6731</f>
        <v>0</v>
      </c>
      <c r="K16" s="22"/>
      <c r="L16" s="305" t="s">
        <v>102</v>
      </c>
      <c r="M16" s="177"/>
    </row>
    <row r="17" spans="1:15" ht="13.5" customHeight="1">
      <c r="A17" s="372" t="s">
        <v>199</v>
      </c>
      <c r="B17" s="271"/>
      <c r="C17" s="1332" t="s">
        <v>103</v>
      </c>
      <c r="D17" s="1337">
        <f>[1]!F610BudgFYO6734</f>
        <v>100000</v>
      </c>
      <c r="E17" s="1335">
        <f>F610O6734</f>
        <v>70000</v>
      </c>
      <c r="F17" s="291">
        <f>[1]!F630BudgFYO6734</f>
        <v>0</v>
      </c>
      <c r="G17" s="41"/>
      <c r="H17" s="291">
        <f>[1]!F695BudgFYO6734</f>
        <v>0</v>
      </c>
      <c r="I17" s="41"/>
      <c r="J17" s="291">
        <f>[1]!F620BudgFYO6734</f>
        <v>0</v>
      </c>
      <c r="K17" s="22"/>
      <c r="L17" s="375" t="s">
        <v>103</v>
      </c>
      <c r="M17" s="177"/>
    </row>
    <row r="18" spans="1:15" ht="13.5" customHeight="1">
      <c r="A18" s="372" t="s">
        <v>998</v>
      </c>
      <c r="B18" s="271"/>
      <c r="C18" s="1332" t="s">
        <v>104</v>
      </c>
      <c r="D18" s="1337">
        <f>[1]!F610BudgFYO6737</f>
        <v>45000</v>
      </c>
      <c r="E18" s="1335">
        <f>F610O6737</f>
        <v>25000</v>
      </c>
      <c r="F18" s="291">
        <f>[1]!F630BudgFYO6737</f>
        <v>0</v>
      </c>
      <c r="G18" s="41"/>
      <c r="H18" s="291">
        <f>[1]!F695BudgFYO6737</f>
        <v>0</v>
      </c>
      <c r="I18" s="41"/>
      <c r="J18" s="291">
        <f>[1]!F620BudgFYO6737</f>
        <v>0</v>
      </c>
      <c r="K18" s="21"/>
      <c r="L18" s="375" t="s">
        <v>104</v>
      </c>
      <c r="M18" s="177"/>
    </row>
    <row r="19" spans="1:15" ht="13.5" customHeight="1">
      <c r="A19" s="372" t="s">
        <v>999</v>
      </c>
      <c r="B19" s="271"/>
      <c r="C19" s="1332" t="s">
        <v>105</v>
      </c>
      <c r="D19" s="1337">
        <f>[1]!F610BudgFYO6831</f>
        <v>0</v>
      </c>
      <c r="E19" s="1334"/>
      <c r="F19" s="291">
        <f>[1]!F630BudgFYO6831</f>
        <v>0</v>
      </c>
      <c r="G19" s="41"/>
      <c r="H19" s="291">
        <f>[1]!F695BudgFYO6831</f>
        <v>0</v>
      </c>
      <c r="I19" s="41"/>
      <c r="J19" s="291">
        <f>[1]!F620BudgFYO6831</f>
        <v>0</v>
      </c>
      <c r="K19" s="21"/>
      <c r="L19" s="375" t="s">
        <v>105</v>
      </c>
      <c r="M19" s="177"/>
    </row>
    <row r="20" spans="1:15" ht="13.5" customHeight="1">
      <c r="A20" s="376" t="s">
        <v>1000</v>
      </c>
      <c r="B20" s="377"/>
      <c r="C20" s="379" t="s">
        <v>106</v>
      </c>
      <c r="D20" s="1337">
        <f>[1]!F610BudgFYO6841</f>
        <v>0</v>
      </c>
      <c r="E20" s="1336"/>
      <c r="F20" s="378">
        <f>[1]!F630BudgFYO6841</f>
        <v>0</v>
      </c>
      <c r="G20" s="44"/>
      <c r="H20" s="378">
        <f>[1]!F695BudgFYO6841</f>
        <v>0</v>
      </c>
      <c r="I20" s="44"/>
      <c r="J20" s="291">
        <f>[1]!F620BudgFYO6841</f>
        <v>0</v>
      </c>
      <c r="K20" s="50"/>
      <c r="L20" s="305" t="s">
        <v>106</v>
      </c>
      <c r="M20" s="177"/>
    </row>
    <row r="21" spans="1:15" ht="13.5" customHeight="1">
      <c r="A21" s="372" t="s">
        <v>891</v>
      </c>
      <c r="B21" s="271"/>
      <c r="C21" s="1332" t="s">
        <v>107</v>
      </c>
      <c r="D21" s="287">
        <f t="shared" ref="D21:K21" si="0">SUM(D10:D20)</f>
        <v>890000</v>
      </c>
      <c r="E21" s="296">
        <f t="shared" si="0"/>
        <v>568000</v>
      </c>
      <c r="F21" s="287">
        <f t="shared" si="0"/>
        <v>0</v>
      </c>
      <c r="G21" s="287">
        <f t="shared" si="0"/>
        <v>0</v>
      </c>
      <c r="H21" s="287">
        <f t="shared" si="0"/>
        <v>0</v>
      </c>
      <c r="I21" s="287">
        <f t="shared" si="0"/>
        <v>0</v>
      </c>
      <c r="J21" s="287">
        <f t="shared" si="0"/>
        <v>0</v>
      </c>
      <c r="K21" s="287">
        <f t="shared" si="0"/>
        <v>0</v>
      </c>
      <c r="L21" s="375" t="s">
        <v>107</v>
      </c>
      <c r="M21" s="177"/>
    </row>
    <row r="22" spans="1:15" ht="13.5" customHeight="1">
      <c r="A22" s="285" t="s">
        <v>892</v>
      </c>
      <c r="D22" s="1444"/>
      <c r="E22" s="381"/>
      <c r="F22" s="380"/>
      <c r="G22" s="380"/>
      <c r="H22" s="380"/>
      <c r="I22" s="382"/>
      <c r="J22" s="293"/>
      <c r="K22" s="383"/>
      <c r="M22" s="177"/>
    </row>
    <row r="23" spans="1:15" ht="13.5" customHeight="1">
      <c r="A23" s="372" t="s">
        <v>200</v>
      </c>
      <c r="B23" s="271"/>
      <c r="C23" s="373" t="s">
        <v>108</v>
      </c>
      <c r="D23" s="374">
        <f>[1]!F610BudgFYRenovation</f>
        <v>0</v>
      </c>
      <c r="E23" s="41"/>
      <c r="F23" s="291">
        <f>[1]!F630BudgFYRenovation</f>
        <v>0</v>
      </c>
      <c r="G23" s="41"/>
      <c r="H23" s="384"/>
      <c r="I23" s="384"/>
      <c r="J23" s="291">
        <f>[1]!F620BudgFYRenovation</f>
        <v>0</v>
      </c>
      <c r="K23" s="26"/>
      <c r="L23" s="375" t="s">
        <v>108</v>
      </c>
      <c r="M23" s="177"/>
    </row>
    <row r="24" spans="1:15" ht="13.5" customHeight="1">
      <c r="A24" s="372" t="s">
        <v>1001</v>
      </c>
      <c r="B24" s="271"/>
      <c r="C24" s="373" t="s">
        <v>109</v>
      </c>
      <c r="D24" s="374">
        <f>[1]!F610BudgFYNewConstruction</f>
        <v>0</v>
      </c>
      <c r="E24" s="41"/>
      <c r="F24" s="291">
        <f>[1]!F630BudgFYNewConstruction</f>
        <v>0</v>
      </c>
      <c r="G24" s="41"/>
      <c r="H24" s="291">
        <f>[1]!F695BudgFYNewConstruction</f>
        <v>0</v>
      </c>
      <c r="I24" s="41"/>
      <c r="J24" s="291">
        <f>[1]!F620BudgFYNewConstruction</f>
        <v>0</v>
      </c>
      <c r="K24" s="21"/>
      <c r="L24" s="375" t="s">
        <v>109</v>
      </c>
      <c r="M24" s="177"/>
    </row>
    <row r="25" spans="1:15" ht="13.5" customHeight="1">
      <c r="A25" s="372" t="s">
        <v>201</v>
      </c>
      <c r="B25" s="271"/>
      <c r="C25" s="373" t="s">
        <v>110</v>
      </c>
      <c r="D25" s="374">
        <f>[1]!F610BudgFYOther</f>
        <v>890000</v>
      </c>
      <c r="E25" s="41">
        <v>568000</v>
      </c>
      <c r="F25" s="291">
        <f>[1]!F630BudgFYOther</f>
        <v>0</v>
      </c>
      <c r="G25" s="41"/>
      <c r="H25" s="291">
        <f>[1]!F695BudgFYOther</f>
        <v>0</v>
      </c>
      <c r="I25" s="41"/>
      <c r="J25" s="291">
        <f>[1]!F620BudgFYOther</f>
        <v>0</v>
      </c>
      <c r="K25" s="21"/>
      <c r="L25" s="305" t="s">
        <v>110</v>
      </c>
      <c r="M25" s="177"/>
    </row>
    <row r="26" spans="1:15" ht="13.5" customHeight="1">
      <c r="A26" s="354" t="s">
        <v>893</v>
      </c>
      <c r="B26" s="355"/>
      <c r="C26" s="1331" t="s">
        <v>111</v>
      </c>
      <c r="D26" s="374">
        <f>SUM(D23:D25)</f>
        <v>890000</v>
      </c>
      <c r="E26" s="291">
        <f>SUM(E23:E25)</f>
        <v>568000</v>
      </c>
      <c r="F26" s="291">
        <f>SUM(F23:F25)</f>
        <v>0</v>
      </c>
      <c r="G26" s="291">
        <f>SUM(G23:G25)</f>
        <v>0</v>
      </c>
      <c r="H26" s="291">
        <f>SUM(H24:H25)</f>
        <v>0</v>
      </c>
      <c r="I26" s="291">
        <f>SUM(I24:I25)</f>
        <v>0</v>
      </c>
      <c r="J26" s="291">
        <f>SUM(J23:J25)</f>
        <v>0</v>
      </c>
      <c r="K26" s="291">
        <f>SUM(K23:K25)</f>
        <v>0</v>
      </c>
      <c r="L26" s="305" t="s">
        <v>111</v>
      </c>
      <c r="M26" s="177"/>
    </row>
    <row r="27" spans="1:15">
      <c r="A27" s="96"/>
      <c r="B27" s="96"/>
      <c r="C27" s="175"/>
      <c r="D27" s="385"/>
      <c r="E27" s="386" t="str">
        <f>IF(SUM(E23:E25)=E21,"","Check line 12")</f>
        <v/>
      </c>
      <c r="F27" s="385"/>
      <c r="G27" s="386" t="str">
        <f>IF(SUM(G23:G25)=G21,"","Check line 12")</f>
        <v/>
      </c>
      <c r="H27" s="385"/>
      <c r="I27" s="386" t="str">
        <f>IF(SUM(I24:I25)=I21,"","Check line 12")</f>
        <v/>
      </c>
      <c r="J27" s="1273"/>
      <c r="K27" s="387" t="str">
        <f>IF(SUM(K23:K25)=K21,"","Check line 12")</f>
        <v/>
      </c>
      <c r="L27" s="1272"/>
      <c r="M27" s="1263"/>
      <c r="N27" s="1263"/>
      <c r="O27" s="177"/>
    </row>
    <row r="28" spans="1:15">
      <c r="A28" s="269" t="s">
        <v>894</v>
      </c>
      <c r="B28" s="96"/>
      <c r="C28" s="175"/>
      <c r="D28" s="385"/>
      <c r="E28" s="385"/>
      <c r="F28" s="385"/>
      <c r="G28" s="385"/>
      <c r="H28" s="385"/>
      <c r="I28" s="385"/>
      <c r="J28" s="1273"/>
      <c r="K28" s="1273"/>
      <c r="L28" s="1272"/>
      <c r="M28" s="1271"/>
      <c r="N28" s="1271"/>
      <c r="O28" s="177"/>
    </row>
    <row r="29" spans="1:15">
      <c r="A29" s="305" t="s">
        <v>1352</v>
      </c>
      <c r="B29" s="96"/>
      <c r="E29" s="55"/>
      <c r="F29" s="1273"/>
      <c r="G29" s="1273"/>
      <c r="H29" s="1273"/>
      <c r="I29" s="1273"/>
      <c r="J29" s="1273"/>
      <c r="K29" s="1273"/>
      <c r="L29" s="1272"/>
      <c r="M29" s="1271"/>
      <c r="N29" s="1271"/>
      <c r="O29" s="177"/>
    </row>
    <row r="30" spans="1:15">
      <c r="A30" s="388" t="str">
        <f>IF((E29&gt;0),"Districts that are levying any amount for adjacent ways must fill in the Truth in Taxation Worksheet and follow the requirements of A.R.S. Sec. 15-905.01. The amount reported in footnote 2 above pulls to the Truth in Taxation Worksheet, Line 12.","")</f>
        <v/>
      </c>
      <c r="B30" s="96"/>
      <c r="C30" s="175"/>
      <c r="D30" s="1273"/>
      <c r="E30" s="1273"/>
      <c r="F30" s="1274"/>
      <c r="G30" s="1273"/>
      <c r="H30" s="1273"/>
      <c r="I30" s="1274"/>
      <c r="J30" s="1273"/>
      <c r="K30" s="1273"/>
      <c r="L30" s="1272"/>
      <c r="M30" s="1271"/>
      <c r="N30" s="1271"/>
      <c r="O30" s="290"/>
    </row>
    <row r="31" spans="1:15">
      <c r="A31" s="96"/>
      <c r="B31" s="96"/>
      <c r="C31" s="175"/>
      <c r="D31" s="1273"/>
      <c r="E31" s="1273"/>
      <c r="F31" s="1274"/>
      <c r="G31" s="1273"/>
      <c r="H31" s="1273"/>
      <c r="I31" s="1274"/>
      <c r="J31" s="1273"/>
      <c r="K31" s="1274"/>
      <c r="L31" s="1272"/>
      <c r="M31" s="1263"/>
      <c r="N31" s="1263"/>
      <c r="O31" s="177"/>
    </row>
    <row r="32" spans="1:15">
      <c r="A32" s="96"/>
      <c r="B32" s="96"/>
      <c r="D32" s="1648"/>
      <c r="E32" s="1648"/>
      <c r="F32" s="1274"/>
      <c r="G32" s="1648"/>
      <c r="H32" s="1648"/>
      <c r="I32" s="1274"/>
      <c r="J32" s="1648"/>
      <c r="K32" s="1648"/>
      <c r="L32" s="1652"/>
      <c r="M32" s="1647"/>
      <c r="N32" s="1647"/>
      <c r="O32" s="290"/>
    </row>
    <row r="33" spans="1:15">
      <c r="A33" s="96"/>
      <c r="B33" s="96"/>
      <c r="C33" s="175"/>
      <c r="D33" s="1607"/>
      <c r="E33" s="1607"/>
      <c r="F33" s="1274"/>
      <c r="G33" s="1648"/>
      <c r="H33" s="1648"/>
      <c r="I33" s="1274"/>
      <c r="J33" s="1607"/>
      <c r="K33" s="1653"/>
      <c r="L33" s="1652"/>
      <c r="M33" s="1616"/>
      <c r="N33" s="1616"/>
      <c r="O33" s="177"/>
    </row>
    <row r="34" spans="1:15">
      <c r="A34" s="96"/>
      <c r="B34" s="1293"/>
      <c r="C34" s="175"/>
      <c r="D34" s="1273"/>
      <c r="E34" s="1273"/>
      <c r="F34" s="1273"/>
      <c r="G34" s="1273"/>
      <c r="H34" s="1273"/>
      <c r="I34" s="1273"/>
      <c r="J34" s="1273"/>
      <c r="K34" s="1273"/>
      <c r="L34" s="1272"/>
      <c r="M34" s="1263"/>
      <c r="N34" s="1263"/>
      <c r="O34" s="177"/>
    </row>
    <row r="35" spans="1:15">
      <c r="A35" s="96"/>
      <c r="B35" s="96"/>
      <c r="C35" s="175"/>
      <c r="D35" s="1273"/>
      <c r="E35" s="1273"/>
      <c r="F35" s="1273"/>
      <c r="G35" s="1273"/>
      <c r="H35" s="1273"/>
      <c r="I35" s="1273"/>
      <c r="J35" s="1273"/>
      <c r="K35" s="1273"/>
      <c r="L35" s="1272"/>
      <c r="M35" s="1263"/>
      <c r="N35" s="1263"/>
      <c r="O35" s="177"/>
    </row>
    <row r="36" spans="1:15">
      <c r="A36" s="96"/>
      <c r="B36" s="96"/>
      <c r="C36" s="175"/>
      <c r="D36" s="1273"/>
      <c r="E36" s="1273"/>
      <c r="F36" s="1273"/>
      <c r="G36" s="1273"/>
      <c r="H36" s="1273"/>
      <c r="I36" s="1273"/>
      <c r="J36" s="1273"/>
      <c r="K36" s="1273"/>
      <c r="L36" s="1272"/>
      <c r="M36" s="1263"/>
      <c r="N36" s="1263"/>
      <c r="O36" s="177"/>
    </row>
    <row r="37" spans="1:15">
      <c r="A37" s="96"/>
      <c r="B37" s="96"/>
      <c r="C37" s="175"/>
      <c r="D37" s="1273"/>
      <c r="E37" s="1273"/>
      <c r="F37" s="1273"/>
      <c r="G37" s="1273"/>
      <c r="H37" s="1273"/>
      <c r="I37" s="1273"/>
      <c r="J37" s="1273"/>
      <c r="K37" s="1273"/>
      <c r="L37" s="1272"/>
      <c r="M37" s="1263"/>
      <c r="N37" s="1263"/>
      <c r="O37" s="177"/>
    </row>
    <row r="38" spans="1:15">
      <c r="A38" s="96"/>
      <c r="B38" s="96"/>
      <c r="C38" s="175"/>
      <c r="D38" s="1273"/>
      <c r="E38" s="1273"/>
      <c r="F38" s="1273"/>
      <c r="G38" s="1273"/>
      <c r="H38" s="1273"/>
      <c r="I38" s="1273"/>
      <c r="J38" s="1273"/>
      <c r="K38" s="1273"/>
      <c r="L38" s="1272"/>
      <c r="M38" s="1263"/>
      <c r="N38" s="1263"/>
      <c r="O38" s="177"/>
    </row>
    <row r="39" spans="1:15">
      <c r="A39" s="96"/>
      <c r="B39" s="96"/>
      <c r="C39" s="175"/>
      <c r="D39" s="1273"/>
      <c r="E39" s="1273"/>
      <c r="F39" s="1273"/>
      <c r="G39" s="1273"/>
      <c r="H39" s="1273"/>
      <c r="I39" s="1273"/>
      <c r="J39" s="1273"/>
      <c r="K39" s="1273"/>
      <c r="L39" s="1272"/>
      <c r="M39" s="1263"/>
      <c r="N39" s="1263"/>
      <c r="O39" s="177"/>
    </row>
    <row r="40" spans="1:15">
      <c r="A40" s="96"/>
      <c r="B40" s="96"/>
      <c r="C40" s="175"/>
      <c r="D40" s="1273"/>
      <c r="E40" s="1273"/>
      <c r="F40" s="1273"/>
      <c r="G40" s="1273"/>
      <c r="H40" s="1273"/>
      <c r="I40" s="1273"/>
      <c r="J40" s="1273"/>
      <c r="K40" s="1273"/>
      <c r="L40" s="1272"/>
      <c r="M40" s="1271"/>
      <c r="N40" s="1271"/>
      <c r="O40" s="177"/>
    </row>
    <row r="41" spans="1:15">
      <c r="B41" s="96"/>
      <c r="C41" s="175"/>
    </row>
  </sheetData>
  <sheetProtection sheet="1" formatCells="0" formatColumns="0" formatRows="0"/>
  <mergeCells count="18">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 ref="E32:E33"/>
    <mergeCell ref="G32:G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zoomScaleNormal="100" workbookViewId="0">
      <selection activeCell="T44" sqref="T44"/>
    </sheetView>
  </sheetViews>
  <sheetFormatPr defaultColWidth="9.81640625" defaultRowHeight="15"/>
  <cols>
    <col min="1" max="1" width="3" customWidth="1"/>
    <col min="2" max="2" width="1" customWidth="1"/>
    <col min="4" max="4" width="28" customWidth="1"/>
    <col min="5" max="5" width="4.81640625" customWidth="1"/>
    <col min="6" max="6" width="7.81640625" customWidth="1"/>
    <col min="7" max="7" width="5.81640625" customWidth="1"/>
    <col min="8" max="8" width="2.81640625" customWidth="1"/>
    <col min="9" max="9" width="10.81640625" customWidth="1"/>
    <col min="10" max="10" width="11" customWidth="1"/>
    <col min="11" max="11" width="2.81640625" customWidth="1"/>
    <col min="12" max="12" width="4.81640625" customWidth="1"/>
    <col min="13" max="13" width="2.81640625" customWidth="1"/>
    <col min="14" max="14" width="1.81640625" customWidth="1"/>
    <col min="16" max="16" width="9.81640625" customWidth="1"/>
    <col min="17" max="17" width="8.453125" customWidth="1"/>
    <col min="18" max="18" width="4.81640625" customWidth="1"/>
    <col min="21" max="21" width="3" customWidth="1"/>
  </cols>
  <sheetData>
    <row r="1" spans="1:21" ht="15" customHeight="1">
      <c r="A1" s="138"/>
      <c r="B1" s="138"/>
      <c r="C1" s="1262" t="s">
        <v>140</v>
      </c>
      <c r="D1" s="1595" t="str">
        <f>DistrictName</f>
        <v>Mary C O'Brien Accommodation District</v>
      </c>
      <c r="E1" s="1595"/>
      <c r="F1" s="1595"/>
      <c r="H1" s="138"/>
      <c r="I1" s="1262" t="s">
        <v>1</v>
      </c>
      <c r="J1" s="1604" t="str">
        <f>Cover!H1</f>
        <v>Pinal</v>
      </c>
      <c r="K1" s="1605"/>
      <c r="L1" s="1605"/>
      <c r="M1" s="138"/>
      <c r="N1" s="138"/>
      <c r="O1" s="1262" t="s">
        <v>202</v>
      </c>
      <c r="P1" s="1671" t="str">
        <f>Cover!S1</f>
        <v>110100000</v>
      </c>
      <c r="Q1" s="1605"/>
      <c r="R1" s="138"/>
      <c r="S1" s="1262" t="s">
        <v>16</v>
      </c>
      <c r="T1" s="1259" t="str">
        <f>Cover!C8</f>
        <v>Proposed</v>
      </c>
      <c r="U1" s="138"/>
    </row>
    <row r="2" spans="1:21" ht="8.25" customHeight="1">
      <c r="A2" s="138"/>
      <c r="B2" s="138"/>
      <c r="C2" s="138"/>
      <c r="D2" s="138"/>
      <c r="E2" s="138"/>
      <c r="F2" s="138"/>
      <c r="G2" s="138"/>
      <c r="H2" s="138"/>
      <c r="I2" s="138"/>
      <c r="J2" s="138"/>
      <c r="K2" s="138"/>
      <c r="L2" s="138"/>
      <c r="M2" s="138"/>
      <c r="N2" s="138"/>
      <c r="O2" s="138"/>
      <c r="P2" s="138"/>
      <c r="Q2" s="138"/>
      <c r="R2" s="138"/>
      <c r="S2" s="138"/>
      <c r="T2" s="138"/>
      <c r="U2" s="138"/>
    </row>
    <row r="3" spans="1:21" ht="12" customHeight="1">
      <c r="B3" s="1127" t="s">
        <v>203</v>
      </c>
      <c r="C3" s="389"/>
      <c r="E3" s="389"/>
      <c r="F3" s="390" t="s">
        <v>42</v>
      </c>
      <c r="G3" s="1672"/>
      <c r="H3" s="1673"/>
      <c r="I3" s="391"/>
      <c r="J3" s="392"/>
      <c r="K3" s="393"/>
      <c r="L3" s="393"/>
      <c r="M3" s="116" t="s">
        <v>204</v>
      </c>
      <c r="N3" s="116"/>
      <c r="O3" s="116"/>
      <c r="P3" s="116"/>
      <c r="Q3" s="116"/>
      <c r="R3" s="116"/>
      <c r="U3" s="1"/>
    </row>
    <row r="4" spans="1:21" ht="12" customHeight="1">
      <c r="A4" s="394"/>
      <c r="B4" s="1679" t="s">
        <v>682</v>
      </c>
      <c r="C4" s="1680"/>
      <c r="D4" s="1680"/>
      <c r="E4" s="389"/>
      <c r="F4" s="395"/>
      <c r="G4" s="396"/>
      <c r="H4" s="397"/>
      <c r="I4" s="398"/>
      <c r="J4" s="399"/>
      <c r="K4" s="393"/>
      <c r="L4" s="393"/>
      <c r="S4" s="210" t="s">
        <v>129</v>
      </c>
      <c r="T4" s="210" t="s">
        <v>130</v>
      </c>
    </row>
    <row r="5" spans="1:21" ht="12" customHeight="1">
      <c r="A5" s="400"/>
      <c r="B5" s="400"/>
      <c r="C5" s="389"/>
      <c r="D5" s="389"/>
      <c r="E5" s="400"/>
      <c r="F5" s="1674" t="s">
        <v>80</v>
      </c>
      <c r="G5" s="1675"/>
      <c r="H5" s="1676"/>
      <c r="I5" s="1129" t="s">
        <v>205</v>
      </c>
      <c r="J5" s="1130"/>
      <c r="K5" s="393"/>
      <c r="L5" s="393"/>
      <c r="M5" s="401" t="s">
        <v>6</v>
      </c>
      <c r="N5" s="1263"/>
      <c r="O5" s="324" t="s">
        <v>206</v>
      </c>
      <c r="Q5" s="116"/>
      <c r="R5" s="96"/>
      <c r="S5" s="402">
        <f>[1]!F050BudgFY</f>
        <v>0</v>
      </c>
      <c r="T5" s="11"/>
      <c r="U5" s="404" t="s">
        <v>6</v>
      </c>
    </row>
    <row r="6" spans="1:21" ht="12" customHeight="1">
      <c r="A6" s="1128" t="s">
        <v>207</v>
      </c>
      <c r="B6" s="393"/>
      <c r="C6" s="405"/>
      <c r="D6" s="405"/>
      <c r="E6" s="405"/>
      <c r="F6" s="1355" t="s">
        <v>129</v>
      </c>
      <c r="G6" s="1677" t="s">
        <v>130</v>
      </c>
      <c r="H6" s="1678"/>
      <c r="I6" s="397" t="s">
        <v>129</v>
      </c>
      <c r="J6" s="1356" t="s">
        <v>130</v>
      </c>
      <c r="K6" s="393"/>
      <c r="L6" s="393"/>
      <c r="M6" s="406" t="s">
        <v>8</v>
      </c>
      <c r="N6" s="1263"/>
      <c r="O6" s="324" t="s">
        <v>208</v>
      </c>
      <c r="R6" s="96"/>
      <c r="S6" s="403">
        <f>F071CurrFY</f>
        <v>0</v>
      </c>
      <c r="T6" s="403">
        <f>F071BudgFY</f>
        <v>0</v>
      </c>
      <c r="U6" s="404" t="s">
        <v>8</v>
      </c>
    </row>
    <row r="7" spans="1:21" ht="12" customHeight="1">
      <c r="A7" s="401" t="s">
        <v>6</v>
      </c>
      <c r="B7" s="393"/>
      <c r="C7" s="1082" t="s">
        <v>1061</v>
      </c>
      <c r="D7" s="400"/>
      <c r="E7" s="401"/>
      <c r="F7" s="1357">
        <f>[1]!F100130Personnel</f>
        <v>1</v>
      </c>
      <c r="G7" s="1666">
        <f>1+0.245+0.4719</f>
        <v>1.72</v>
      </c>
      <c r="H7" s="1666"/>
      <c r="I7" s="1358">
        <f>[1]!F100130BudgFY</f>
        <v>104334</v>
      </c>
      <c r="J7" s="1074">
        <v>72182</v>
      </c>
      <c r="K7" s="404" t="s">
        <v>6</v>
      </c>
      <c r="L7" s="393"/>
      <c r="M7" s="406" t="s">
        <v>22</v>
      </c>
      <c r="N7" s="1263"/>
      <c r="O7" s="324" t="s">
        <v>209</v>
      </c>
      <c r="R7" s="96"/>
      <c r="S7" s="403">
        <f>F072CurrFY</f>
        <v>0</v>
      </c>
      <c r="T7" s="403">
        <f>F072BudgFY</f>
        <v>0</v>
      </c>
      <c r="U7" s="404" t="s">
        <v>22</v>
      </c>
    </row>
    <row r="8" spans="1:21" ht="12" customHeight="1">
      <c r="A8" s="401" t="s">
        <v>8</v>
      </c>
      <c r="B8" s="393"/>
      <c r="C8" s="1082" t="s">
        <v>1062</v>
      </c>
      <c r="D8" s="400"/>
      <c r="E8" s="401"/>
      <c r="F8" s="1357">
        <f>[1]!F140150Personnel</f>
        <v>0</v>
      </c>
      <c r="G8" s="1666">
        <v>0</v>
      </c>
      <c r="H8" s="1666"/>
      <c r="I8" s="1358">
        <f>[1]!F140150BudgFY</f>
        <v>0</v>
      </c>
      <c r="J8" s="1074">
        <v>0</v>
      </c>
      <c r="K8" s="404" t="s">
        <v>8</v>
      </c>
      <c r="L8" s="401"/>
      <c r="M8" s="407" t="s">
        <v>40</v>
      </c>
      <c r="N8" s="1263"/>
      <c r="O8" s="1083" t="s">
        <v>210</v>
      </c>
      <c r="R8" s="96"/>
      <c r="S8" s="403">
        <f>[1]!F500BudgFY</f>
        <v>0</v>
      </c>
      <c r="T8" s="11">
        <v>0</v>
      </c>
      <c r="U8" s="408" t="s">
        <v>40</v>
      </c>
    </row>
    <row r="9" spans="1:21" ht="12" customHeight="1">
      <c r="A9" s="401" t="s">
        <v>22</v>
      </c>
      <c r="B9" s="393"/>
      <c r="C9" s="1082" t="s">
        <v>1063</v>
      </c>
      <c r="D9" s="400"/>
      <c r="E9" s="401"/>
      <c r="F9" s="1357">
        <f>[1]!F160Personnel</f>
        <v>0</v>
      </c>
      <c r="G9" s="1666">
        <v>0</v>
      </c>
      <c r="H9" s="1666"/>
      <c r="I9" s="1358">
        <f>[1]!F160BudgFY</f>
        <v>0</v>
      </c>
      <c r="J9" s="1074">
        <v>0</v>
      </c>
      <c r="K9" s="404" t="s">
        <v>22</v>
      </c>
      <c r="L9" s="401"/>
      <c r="M9" s="409" t="s">
        <v>98</v>
      </c>
      <c r="N9" s="96"/>
      <c r="O9" s="324" t="s">
        <v>211</v>
      </c>
      <c r="P9" s="96"/>
      <c r="Q9" s="96"/>
      <c r="R9" s="401"/>
      <c r="S9" s="403">
        <f>[1]!F510BudgFY</f>
        <v>115000</v>
      </c>
      <c r="T9" s="12">
        <f>120000*1.03</f>
        <v>123600</v>
      </c>
      <c r="U9" s="408" t="s">
        <v>98</v>
      </c>
    </row>
    <row r="10" spans="1:21" ht="12" customHeight="1">
      <c r="A10" s="401" t="s">
        <v>40</v>
      </c>
      <c r="B10" s="393"/>
      <c r="C10" s="1082" t="s">
        <v>1064</v>
      </c>
      <c r="D10" s="400"/>
      <c r="E10" s="401"/>
      <c r="F10" s="1357">
        <f>[1]!F170180Personnel</f>
        <v>0</v>
      </c>
      <c r="G10" s="1666">
        <v>0</v>
      </c>
      <c r="H10" s="1666"/>
      <c r="I10" s="1358">
        <f>[1]!F170180BudgFY</f>
        <v>0</v>
      </c>
      <c r="J10" s="1074">
        <v>0</v>
      </c>
      <c r="K10" s="404" t="s">
        <v>40</v>
      </c>
      <c r="L10" s="401"/>
      <c r="M10" s="409" t="s">
        <v>99</v>
      </c>
      <c r="N10" s="1263"/>
      <c r="O10" s="324" t="s">
        <v>212</v>
      </c>
      <c r="P10" s="96"/>
      <c r="Q10" s="96"/>
      <c r="R10" s="401"/>
      <c r="S10" s="403">
        <f>[1]!F515BudgFY</f>
        <v>35000</v>
      </c>
      <c r="T10" s="12">
        <v>29000</v>
      </c>
      <c r="U10" s="408" t="s">
        <v>99</v>
      </c>
    </row>
    <row r="11" spans="1:21" ht="12" customHeight="1">
      <c r="A11" s="401" t="s">
        <v>98</v>
      </c>
      <c r="B11" s="393"/>
      <c r="C11" s="1082" t="s">
        <v>1065</v>
      </c>
      <c r="D11" s="400"/>
      <c r="E11" s="401"/>
      <c r="F11" s="1357">
        <f>[1]!F190Personnel</f>
        <v>0</v>
      </c>
      <c r="G11" s="1666">
        <v>0</v>
      </c>
      <c r="H11" s="1666"/>
      <c r="I11" s="1358">
        <f>[1]!F190BudgFY</f>
        <v>0</v>
      </c>
      <c r="J11" s="1074">
        <v>0</v>
      </c>
      <c r="K11" s="404" t="s">
        <v>98</v>
      </c>
      <c r="L11" s="401"/>
      <c r="M11" s="409" t="s">
        <v>100</v>
      </c>
      <c r="N11" s="1263"/>
      <c r="O11" s="324" t="s">
        <v>213</v>
      </c>
      <c r="P11" s="96"/>
      <c r="Q11" s="96"/>
      <c r="R11" s="401"/>
      <c r="S11" s="403">
        <f>[1]!F520BudgFY</f>
        <v>230000</v>
      </c>
      <c r="T11" s="11">
        <v>116817</v>
      </c>
      <c r="U11" s="408" t="s">
        <v>100</v>
      </c>
    </row>
    <row r="12" spans="1:21" ht="12" customHeight="1">
      <c r="A12" s="401" t="s">
        <v>99</v>
      </c>
      <c r="B12" s="393"/>
      <c r="C12" s="1082" t="s">
        <v>1066</v>
      </c>
      <c r="D12" s="400"/>
      <c r="E12" s="401"/>
      <c r="F12" s="1357">
        <f>[1]!F200Personnel</f>
        <v>0</v>
      </c>
      <c r="G12" s="1666">
        <v>0</v>
      </c>
      <c r="H12" s="1666"/>
      <c r="I12" s="1358">
        <f>[1]!F200BudgFY</f>
        <v>0</v>
      </c>
      <c r="J12" s="1074">
        <v>0</v>
      </c>
      <c r="K12" s="404" t="s">
        <v>99</v>
      </c>
      <c r="L12" s="401"/>
      <c r="M12" s="409" t="s">
        <v>102</v>
      </c>
      <c r="N12" s="1263"/>
      <c r="O12" s="324" t="s">
        <v>214</v>
      </c>
      <c r="P12" s="96"/>
      <c r="Q12" s="96"/>
      <c r="R12" s="96"/>
      <c r="S12" s="403">
        <f>[1]!F525BudgFY</f>
        <v>0</v>
      </c>
      <c r="T12" s="12">
        <v>0</v>
      </c>
      <c r="U12" s="408" t="s">
        <v>102</v>
      </c>
    </row>
    <row r="13" spans="1:21" ht="12" customHeight="1">
      <c r="A13" s="401" t="s">
        <v>100</v>
      </c>
      <c r="B13" s="393"/>
      <c r="C13" s="1082" t="s">
        <v>1002</v>
      </c>
      <c r="D13" s="400"/>
      <c r="E13" s="401"/>
      <c r="F13" s="1357">
        <f>[1]!F210Personnel</f>
        <v>0</v>
      </c>
      <c r="G13" s="1666">
        <v>0</v>
      </c>
      <c r="H13" s="1666"/>
      <c r="I13" s="1358">
        <f>[1]!F210BudgFY</f>
        <v>0</v>
      </c>
      <c r="J13" s="1074">
        <v>0</v>
      </c>
      <c r="K13" s="404" t="s">
        <v>100</v>
      </c>
      <c r="L13" s="401"/>
      <c r="M13" s="409" t="s">
        <v>103</v>
      </c>
      <c r="N13" s="1263"/>
      <c r="O13" s="324" t="s">
        <v>215</v>
      </c>
      <c r="P13" s="96"/>
      <c r="Q13" s="96"/>
      <c r="R13" s="401"/>
      <c r="S13" s="403">
        <f>[1]!F526BudgFY</f>
        <v>5000</v>
      </c>
      <c r="T13" s="12">
        <v>5800</v>
      </c>
      <c r="U13" s="408" t="s">
        <v>103</v>
      </c>
    </row>
    <row r="14" spans="1:21" ht="12" customHeight="1">
      <c r="A14" s="401" t="s">
        <v>102</v>
      </c>
      <c r="B14" s="393"/>
      <c r="C14" s="1082" t="s">
        <v>1059</v>
      </c>
      <c r="D14" s="400"/>
      <c r="E14" s="401"/>
      <c r="F14" s="1357">
        <f>[1]!F220Personnel</f>
        <v>1</v>
      </c>
      <c r="G14" s="1666">
        <v>1</v>
      </c>
      <c r="H14" s="1666"/>
      <c r="I14" s="1358">
        <f>[1]!F220BudgFY</f>
        <v>59589</v>
      </c>
      <c r="J14" s="1074">
        <f>43930+1058</f>
        <v>44988</v>
      </c>
      <c r="K14" s="404" t="s">
        <v>102</v>
      </c>
      <c r="L14" s="401"/>
      <c r="M14" s="409" t="s">
        <v>104</v>
      </c>
      <c r="N14" s="1263"/>
      <c r="O14" s="324" t="s">
        <v>216</v>
      </c>
      <c r="R14" s="401"/>
      <c r="S14" s="403">
        <f>[1]!F530BudgFY</f>
        <v>60000</v>
      </c>
      <c r="T14" s="12">
        <v>70685</v>
      </c>
      <c r="U14" s="408" t="s">
        <v>104</v>
      </c>
    </row>
    <row r="15" spans="1:21" ht="12" customHeight="1">
      <c r="A15" s="401" t="s">
        <v>103</v>
      </c>
      <c r="B15" s="393"/>
      <c r="C15" s="1082" t="s">
        <v>217</v>
      </c>
      <c r="D15" s="400"/>
      <c r="E15" s="401"/>
      <c r="F15" s="1357">
        <f>[1]!F230Personnel</f>
        <v>0</v>
      </c>
      <c r="G15" s="1666">
        <v>0</v>
      </c>
      <c r="H15" s="1666"/>
      <c r="I15" s="1358">
        <f>[1]!F230BudgFY</f>
        <v>0</v>
      </c>
      <c r="J15" s="1074">
        <v>0</v>
      </c>
      <c r="K15" s="404" t="s">
        <v>103</v>
      </c>
      <c r="L15" s="401"/>
      <c r="M15" s="409" t="s">
        <v>105</v>
      </c>
      <c r="N15" s="1263"/>
      <c r="O15" s="1084" t="s">
        <v>218</v>
      </c>
      <c r="P15" s="96"/>
      <c r="Q15" s="96"/>
      <c r="R15" s="401"/>
      <c r="S15" s="403">
        <f>[1]!F535BudgFY</f>
        <v>0</v>
      </c>
      <c r="T15" s="11">
        <v>0</v>
      </c>
      <c r="U15" s="408" t="s">
        <v>105</v>
      </c>
    </row>
    <row r="16" spans="1:21" ht="12" customHeight="1">
      <c r="A16" s="401" t="s">
        <v>104</v>
      </c>
      <c r="B16" s="393"/>
      <c r="C16" s="1082" t="s">
        <v>1060</v>
      </c>
      <c r="D16" s="400"/>
      <c r="E16" s="401"/>
      <c r="F16" s="1357">
        <f>[1]!F240Personnel</f>
        <v>0</v>
      </c>
      <c r="G16" s="1666">
        <v>0</v>
      </c>
      <c r="H16" s="1666"/>
      <c r="I16" s="1358">
        <f>[1]!F240BudgFY</f>
        <v>0</v>
      </c>
      <c r="J16" s="1074">
        <v>0</v>
      </c>
      <c r="K16" s="404" t="s">
        <v>104</v>
      </c>
      <c r="L16" s="401"/>
      <c r="M16" s="409" t="s">
        <v>106</v>
      </c>
      <c r="N16" s="1263"/>
      <c r="O16" s="177" t="s">
        <v>219</v>
      </c>
      <c r="P16" s="96"/>
      <c r="Q16" s="96"/>
      <c r="R16" s="401"/>
      <c r="S16" s="403">
        <f>[1]!F540BudgFY</f>
        <v>0</v>
      </c>
      <c r="T16" s="11">
        <v>0</v>
      </c>
      <c r="U16" s="408" t="s">
        <v>106</v>
      </c>
    </row>
    <row r="17" spans="1:21" ht="12" customHeight="1">
      <c r="A17" s="401" t="s">
        <v>105</v>
      </c>
      <c r="B17" s="393"/>
      <c r="C17" s="1082" t="s">
        <v>220</v>
      </c>
      <c r="D17" s="400"/>
      <c r="E17" s="401"/>
      <c r="F17" s="1357">
        <f>[1]!F250Personnel</f>
        <v>0</v>
      </c>
      <c r="G17" s="1666">
        <v>0</v>
      </c>
      <c r="H17" s="1666"/>
      <c r="I17" s="1358">
        <f>[1]!F250BudgFY</f>
        <v>0</v>
      </c>
      <c r="J17" s="1074">
        <v>0</v>
      </c>
      <c r="K17" s="404" t="s">
        <v>105</v>
      </c>
      <c r="L17" s="401"/>
      <c r="M17" s="409" t="s">
        <v>107</v>
      </c>
      <c r="N17" s="1263"/>
      <c r="O17" s="177" t="s">
        <v>221</v>
      </c>
      <c r="P17" s="96"/>
      <c r="Q17" s="96"/>
      <c r="R17" s="401"/>
      <c r="S17" s="403">
        <f>[1]!F545BudgFY</f>
        <v>0</v>
      </c>
      <c r="T17" s="12">
        <v>0</v>
      </c>
      <c r="U17" s="408" t="s">
        <v>107</v>
      </c>
    </row>
    <row r="18" spans="1:21" ht="12" customHeight="1">
      <c r="A18" s="401" t="s">
        <v>106</v>
      </c>
      <c r="B18" s="393"/>
      <c r="C18" s="1082" t="s">
        <v>222</v>
      </c>
      <c r="D18" s="400"/>
      <c r="E18" s="401"/>
      <c r="F18" s="1357">
        <f>[1]!F260270Personnel</f>
        <v>0</v>
      </c>
      <c r="G18" s="1666">
        <v>0</v>
      </c>
      <c r="H18" s="1666"/>
      <c r="I18" s="1358">
        <f>[1]!F260270BudgFY</f>
        <v>0</v>
      </c>
      <c r="J18" s="1074">
        <v>0</v>
      </c>
      <c r="K18" s="404" t="s">
        <v>106</v>
      </c>
      <c r="L18" s="401"/>
      <c r="M18" s="409" t="s">
        <v>108</v>
      </c>
      <c r="N18" s="1263"/>
      <c r="O18" s="324" t="s">
        <v>223</v>
      </c>
      <c r="P18" s="96"/>
      <c r="Q18" s="96"/>
      <c r="R18" s="401"/>
      <c r="S18" s="403">
        <f>[1]!F550BudgFY</f>
        <v>1000</v>
      </c>
      <c r="T18" s="11">
        <v>1000</v>
      </c>
      <c r="U18" s="408" t="s">
        <v>108</v>
      </c>
    </row>
    <row r="19" spans="1:21" ht="12" customHeight="1">
      <c r="A19" s="401" t="s">
        <v>107</v>
      </c>
      <c r="B19" s="393"/>
      <c r="C19" s="1082" t="s">
        <v>224</v>
      </c>
      <c r="D19" s="400"/>
      <c r="E19" s="401"/>
      <c r="F19" s="1357">
        <f>[1]!F280Personnel</f>
        <v>0</v>
      </c>
      <c r="G19" s="1666">
        <v>0</v>
      </c>
      <c r="H19" s="1666"/>
      <c r="I19" s="1358">
        <f>[1]!F280BudgFY</f>
        <v>0</v>
      </c>
      <c r="J19" s="1074">
        <v>0</v>
      </c>
      <c r="K19" s="413" t="s">
        <v>107</v>
      </c>
      <c r="L19" s="401"/>
      <c r="M19" s="409" t="s">
        <v>109</v>
      </c>
      <c r="N19" s="1263"/>
      <c r="O19" s="324" t="s">
        <v>225</v>
      </c>
      <c r="P19" s="96"/>
      <c r="Q19" s="96"/>
      <c r="R19" s="401"/>
      <c r="S19" s="403">
        <f>[1]!F555BudgFY</f>
        <v>50</v>
      </c>
      <c r="T19" s="12">
        <v>50</v>
      </c>
      <c r="U19" s="408" t="s">
        <v>109</v>
      </c>
    </row>
    <row r="20" spans="1:21" ht="12" customHeight="1">
      <c r="A20" s="401" t="s">
        <v>108</v>
      </c>
      <c r="B20" s="393"/>
      <c r="C20" s="1082" t="s">
        <v>226</v>
      </c>
      <c r="D20" s="400"/>
      <c r="E20" s="401"/>
      <c r="F20" s="1357">
        <f>[1]!F290Personnel</f>
        <v>0</v>
      </c>
      <c r="G20" s="1666">
        <v>0</v>
      </c>
      <c r="H20" s="1666"/>
      <c r="I20" s="1358">
        <f>[1]!F290BudgFY</f>
        <v>0</v>
      </c>
      <c r="J20" s="1074">
        <v>0</v>
      </c>
      <c r="K20" s="413" t="s">
        <v>108</v>
      </c>
      <c r="L20" s="401"/>
      <c r="M20" s="409" t="s">
        <v>110</v>
      </c>
      <c r="N20" s="1263"/>
      <c r="O20" s="324" t="s">
        <v>227</v>
      </c>
      <c r="P20" s="96"/>
      <c r="Q20" s="96"/>
      <c r="R20" s="401"/>
      <c r="S20" s="403">
        <f>[1]!F565BudgFY</f>
        <v>9864</v>
      </c>
      <c r="T20" s="12">
        <v>9864</v>
      </c>
      <c r="U20" s="408" t="s">
        <v>110</v>
      </c>
    </row>
    <row r="21" spans="1:21" ht="12" customHeight="1">
      <c r="A21" s="1249" t="s">
        <v>109</v>
      </c>
      <c r="B21" s="393"/>
      <c r="C21" s="1345" t="s">
        <v>228</v>
      </c>
      <c r="F21" s="1357">
        <f>[1]!F349Personnel</f>
        <v>0</v>
      </c>
      <c r="G21" s="1666">
        <v>0</v>
      </c>
      <c r="H21" s="1666"/>
      <c r="I21" s="1358">
        <f>[1]!F349BudFY</f>
        <v>0</v>
      </c>
      <c r="J21" s="1074">
        <v>0</v>
      </c>
      <c r="K21" s="421" t="s">
        <v>109</v>
      </c>
      <c r="L21" s="401"/>
      <c r="M21" s="409" t="s">
        <v>111</v>
      </c>
      <c r="N21" s="410"/>
      <c r="O21" s="324" t="s">
        <v>229</v>
      </c>
      <c r="P21" s="96"/>
      <c r="Q21" s="96"/>
      <c r="R21" s="401"/>
      <c r="S21" s="403">
        <f>[1]!F570BudgFY</f>
        <v>60000</v>
      </c>
      <c r="T21" s="12">
        <v>64000</v>
      </c>
      <c r="U21" s="408" t="s">
        <v>111</v>
      </c>
    </row>
    <row r="22" spans="1:21" ht="12" customHeight="1">
      <c r="A22" s="1250" t="s">
        <v>110</v>
      </c>
      <c r="B22" s="393"/>
      <c r="C22" s="1345" t="s">
        <v>230</v>
      </c>
      <c r="F22" s="1357">
        <f>[1]!F353Personnel</f>
        <v>0</v>
      </c>
      <c r="G22" s="1666">
        <v>0</v>
      </c>
      <c r="H22" s="1666"/>
      <c r="I22" s="1358">
        <f>[1]!F353BudgFY</f>
        <v>0</v>
      </c>
      <c r="J22" s="1074">
        <v>0</v>
      </c>
      <c r="K22" s="421" t="s">
        <v>110</v>
      </c>
      <c r="L22" s="401"/>
      <c r="M22" s="409" t="s">
        <v>112</v>
      </c>
      <c r="N22" s="1263"/>
      <c r="O22" s="324" t="s">
        <v>231</v>
      </c>
      <c r="P22" s="96"/>
      <c r="Q22" s="96"/>
      <c r="R22" s="401"/>
      <c r="S22" s="403">
        <f>[1]!F575BudgFY</f>
        <v>0</v>
      </c>
      <c r="T22" s="12">
        <v>0</v>
      </c>
      <c r="U22" s="408" t="s">
        <v>112</v>
      </c>
    </row>
    <row r="23" spans="1:21" ht="12" customHeight="1">
      <c r="A23" s="1249" t="s">
        <v>111</v>
      </c>
      <c r="B23" s="393" t="s">
        <v>42</v>
      </c>
      <c r="C23" s="1084" t="s">
        <v>232</v>
      </c>
      <c r="D23" s="400"/>
      <c r="F23" s="1357">
        <f>[1]!F374Personnel</f>
        <v>0</v>
      </c>
      <c r="G23" s="1666">
        <v>0</v>
      </c>
      <c r="H23" s="1666"/>
      <c r="I23" s="1358">
        <f>[1]!F374BudgFY</f>
        <v>0</v>
      </c>
      <c r="J23" s="1074">
        <v>0</v>
      </c>
      <c r="K23" s="421" t="s">
        <v>111</v>
      </c>
      <c r="L23" s="401"/>
      <c r="M23" s="120" t="s">
        <v>113</v>
      </c>
      <c r="N23" s="1263"/>
      <c r="O23" s="324" t="s">
        <v>233</v>
      </c>
      <c r="P23" s="96"/>
      <c r="Q23" s="96"/>
      <c r="R23" s="401"/>
      <c r="S23" s="403">
        <f>[1]!F580BudgFY</f>
        <v>140000</v>
      </c>
      <c r="T23" s="11">
        <v>140000</v>
      </c>
      <c r="U23" s="411" t="s">
        <v>113</v>
      </c>
    </row>
    <row r="24" spans="1:21" ht="12" customHeight="1">
      <c r="A24" s="407" t="s">
        <v>112</v>
      </c>
      <c r="B24" s="393"/>
      <c r="C24" s="1084" t="s">
        <v>234</v>
      </c>
      <c r="D24" s="400"/>
      <c r="E24" s="401"/>
      <c r="F24" s="1357">
        <f>[1]!F378Personnel</f>
        <v>0</v>
      </c>
      <c r="G24" s="1666">
        <v>0</v>
      </c>
      <c r="H24" s="1666"/>
      <c r="I24" s="1358">
        <f>[1]!F378BudgFY</f>
        <v>0</v>
      </c>
      <c r="J24" s="1074">
        <v>0</v>
      </c>
      <c r="K24" s="421" t="s">
        <v>112</v>
      </c>
      <c r="L24" s="1263"/>
      <c r="M24" s="1263" t="s">
        <v>114</v>
      </c>
      <c r="N24" s="1263"/>
      <c r="O24" s="324" t="s">
        <v>235</v>
      </c>
      <c r="P24" s="96"/>
      <c r="Q24" s="96"/>
      <c r="R24" s="401"/>
      <c r="S24" s="403">
        <f>[1]!F585BudgFY</f>
        <v>2260</v>
      </c>
      <c r="T24" s="12">
        <v>2260</v>
      </c>
      <c r="U24" s="1" t="s">
        <v>114</v>
      </c>
    </row>
    <row r="25" spans="1:21" ht="12" customHeight="1">
      <c r="A25" s="407" t="s">
        <v>113</v>
      </c>
      <c r="B25" s="400"/>
      <c r="C25" s="1345" t="s">
        <v>1067</v>
      </c>
      <c r="D25" s="400"/>
      <c r="E25" s="401"/>
      <c r="F25" s="1357">
        <f>[1]!F300399OtherPersonnel</f>
        <v>0</v>
      </c>
      <c r="G25" s="1666">
        <v>0</v>
      </c>
      <c r="H25" s="1666"/>
      <c r="I25" s="1358">
        <f>[1]!F300399OtherBudgFY</f>
        <v>0</v>
      </c>
      <c r="J25" s="1074">
        <v>0</v>
      </c>
      <c r="K25" s="421" t="s">
        <v>113</v>
      </c>
      <c r="L25" s="1263"/>
      <c r="M25" s="1263" t="s">
        <v>115</v>
      </c>
      <c r="N25" s="410"/>
      <c r="O25" s="177" t="s">
        <v>236</v>
      </c>
      <c r="P25" s="96"/>
      <c r="Q25" s="96"/>
      <c r="R25" s="401"/>
      <c r="S25" s="403">
        <f>[1]!F590BudgFY</f>
        <v>0</v>
      </c>
      <c r="T25" s="12">
        <v>0</v>
      </c>
      <c r="U25" s="1" t="s">
        <v>115</v>
      </c>
    </row>
    <row r="26" spans="1:21" ht="12" customHeight="1">
      <c r="A26" s="1249" t="s">
        <v>114</v>
      </c>
      <c r="B26" s="393"/>
      <c r="C26" s="1345" t="s">
        <v>1068</v>
      </c>
      <c r="F26" s="1357">
        <f>[1]!F699Personnel</f>
        <v>0</v>
      </c>
      <c r="G26" s="1666">
        <v>0</v>
      </c>
      <c r="H26" s="1666"/>
      <c r="I26" s="1358">
        <f>[1]!F699BudgFY</f>
        <v>0</v>
      </c>
      <c r="J26" s="1074">
        <v>0</v>
      </c>
      <c r="K26" s="413" t="s">
        <v>114</v>
      </c>
      <c r="L26" s="401"/>
      <c r="M26" s="1263" t="s">
        <v>116</v>
      </c>
      <c r="N26" s="410"/>
      <c r="O26" s="324" t="s">
        <v>237</v>
      </c>
      <c r="R26" s="96"/>
      <c r="S26" s="325">
        <f>[1]!F595BudgFY</f>
        <v>0</v>
      </c>
      <c r="T26" s="73">
        <v>0</v>
      </c>
      <c r="U26" s="1" t="s">
        <v>116</v>
      </c>
    </row>
    <row r="27" spans="1:21" ht="12" customHeight="1" thickBot="1">
      <c r="A27" s="1249" t="s">
        <v>115</v>
      </c>
      <c r="B27" s="393"/>
      <c r="C27" s="1084" t="s">
        <v>1072</v>
      </c>
      <c r="D27" s="400"/>
      <c r="E27" s="400"/>
      <c r="F27" s="1328">
        <f>SUM(F7:F26)</f>
        <v>2</v>
      </c>
      <c r="G27" s="1669">
        <f>SUM(G7:H26)</f>
        <v>2.72</v>
      </c>
      <c r="H27" s="1670"/>
      <c r="I27" s="1329">
        <f>SUM(I7:I26)</f>
        <v>163923</v>
      </c>
      <c r="J27" s="1329">
        <f>SUM(J7:J26)</f>
        <v>117170</v>
      </c>
      <c r="K27" s="413" t="s">
        <v>115</v>
      </c>
      <c r="L27" s="401"/>
      <c r="M27" s="1263" t="s">
        <v>117</v>
      </c>
      <c r="N27" s="410"/>
      <c r="O27" s="324" t="s">
        <v>238</v>
      </c>
      <c r="R27" s="96"/>
      <c r="S27" s="329">
        <f>[1]!F596BudgFY</f>
        <v>0</v>
      </c>
      <c r="T27" s="11">
        <v>0</v>
      </c>
      <c r="U27" s="1" t="s">
        <v>117</v>
      </c>
    </row>
    <row r="28" spans="1:21" ht="12" customHeight="1" thickTop="1">
      <c r="A28" s="405" t="s">
        <v>239</v>
      </c>
      <c r="B28" s="393"/>
      <c r="C28" s="1131"/>
      <c r="F28" s="1267"/>
      <c r="G28" s="1104"/>
      <c r="H28" s="1105"/>
      <c r="I28" s="1267"/>
      <c r="J28" s="1106"/>
      <c r="K28" s="1248"/>
      <c r="L28" s="401"/>
      <c r="M28" s="407" t="s">
        <v>119</v>
      </c>
      <c r="N28" s="410"/>
      <c r="O28" s="1084" t="s">
        <v>240</v>
      </c>
      <c r="R28" s="199"/>
      <c r="S28" s="403">
        <f>[1]!F597BudgFY</f>
        <v>0</v>
      </c>
      <c r="T28" s="34">
        <v>0</v>
      </c>
      <c r="U28" s="413">
        <v>24</v>
      </c>
    </row>
    <row r="29" spans="1:21" ht="12" customHeight="1">
      <c r="A29" s="191" t="s">
        <v>116</v>
      </c>
      <c r="B29" s="393"/>
      <c r="C29" s="1082" t="s">
        <v>1069</v>
      </c>
      <c r="D29" s="400"/>
      <c r="F29" s="1359">
        <f>[1]!F400Personnel</f>
        <v>0</v>
      </c>
      <c r="G29" s="1667">
        <v>0</v>
      </c>
      <c r="H29" s="1668"/>
      <c r="I29" s="1106">
        <f>[1]!F400BudgFY</f>
        <v>0</v>
      </c>
      <c r="J29" s="1360">
        <v>0</v>
      </c>
      <c r="K29" s="413" t="s">
        <v>116</v>
      </c>
      <c r="L29" s="401"/>
      <c r="M29" s="414" t="s">
        <v>120</v>
      </c>
      <c r="N29" s="96"/>
      <c r="O29" s="177" t="s">
        <v>241</v>
      </c>
      <c r="P29" s="1"/>
      <c r="Q29" s="1"/>
      <c r="R29" s="401"/>
      <c r="S29" s="331">
        <f>[1]!F639BudgFY</f>
        <v>0</v>
      </c>
      <c r="T29" s="11">
        <v>0</v>
      </c>
      <c r="U29" s="415" t="s">
        <v>120</v>
      </c>
    </row>
    <row r="30" spans="1:21" ht="12" customHeight="1">
      <c r="A30" s="191" t="s">
        <v>117</v>
      </c>
      <c r="B30" s="393"/>
      <c r="C30" s="1082" t="s">
        <v>242</v>
      </c>
      <c r="D30" s="400"/>
      <c r="F30" s="1357">
        <f>[1]!F410Personnel</f>
        <v>0</v>
      </c>
      <c r="G30" s="1656">
        <v>0</v>
      </c>
      <c r="H30" s="1657"/>
      <c r="I30" s="1358">
        <f>[1]!F410BudgFY</f>
        <v>0</v>
      </c>
      <c r="J30" s="1074">
        <v>0</v>
      </c>
      <c r="K30" s="413" t="s">
        <v>117</v>
      </c>
      <c r="L30" s="401"/>
      <c r="M30" s="414" t="s">
        <v>122</v>
      </c>
      <c r="O30" s="177" t="s">
        <v>243</v>
      </c>
      <c r="P30" s="1"/>
      <c r="Q30" s="1"/>
      <c r="R30" s="401"/>
      <c r="S30" s="403">
        <f>[1]!F650BudgFY</f>
        <v>0</v>
      </c>
      <c r="T30" s="11">
        <v>0</v>
      </c>
      <c r="U30" s="415" t="s">
        <v>122</v>
      </c>
    </row>
    <row r="31" spans="1:21" ht="12" customHeight="1">
      <c r="A31" s="414" t="s">
        <v>119</v>
      </c>
      <c r="B31" s="1244"/>
      <c r="C31" s="1082" t="s">
        <v>1070</v>
      </c>
      <c r="D31" s="400"/>
      <c r="F31" s="1357">
        <f>[1]!F420Personnel</f>
        <v>0</v>
      </c>
      <c r="G31" s="1656">
        <v>0</v>
      </c>
      <c r="H31" s="1657"/>
      <c r="I31" s="1358">
        <f>[1]!F420BudgFY</f>
        <v>0</v>
      </c>
      <c r="J31" s="1074">
        <v>0</v>
      </c>
      <c r="K31" s="415" t="s">
        <v>119</v>
      </c>
      <c r="L31" s="401"/>
      <c r="M31" s="414" t="s">
        <v>123</v>
      </c>
      <c r="N31" s="96"/>
      <c r="O31" s="177" t="s">
        <v>244</v>
      </c>
      <c r="P31" s="96"/>
      <c r="Q31" s="96"/>
      <c r="R31" s="96"/>
      <c r="S31" s="403">
        <f>[1]!F660BudgFY</f>
        <v>0</v>
      </c>
      <c r="T31" s="11">
        <v>0</v>
      </c>
      <c r="U31" s="415" t="s">
        <v>123</v>
      </c>
    </row>
    <row r="32" spans="1:21" ht="12" customHeight="1">
      <c r="A32" s="414" t="s">
        <v>120</v>
      </c>
      <c r="B32" s="1244"/>
      <c r="C32" s="423" t="s">
        <v>1071</v>
      </c>
      <c r="D32" s="400"/>
      <c r="F32" s="1357">
        <f>[1]!F425Personnel</f>
        <v>0</v>
      </c>
      <c r="G32" s="1656">
        <v>0</v>
      </c>
      <c r="H32" s="1657"/>
      <c r="I32" s="1358">
        <f>[1]!F425BudgFY</f>
        <v>0</v>
      </c>
      <c r="J32" s="1074">
        <v>0</v>
      </c>
      <c r="K32" s="415" t="s">
        <v>120</v>
      </c>
      <c r="L32" s="401"/>
      <c r="M32" s="414" t="s">
        <v>124</v>
      </c>
      <c r="N32" s="410"/>
      <c r="O32" s="177" t="s">
        <v>245</v>
      </c>
      <c r="P32" s="96"/>
      <c r="Q32" s="96"/>
      <c r="R32" s="96"/>
      <c r="S32" s="403">
        <f>[1]!F665BudgFY</f>
        <v>1250</v>
      </c>
      <c r="T32" s="11">
        <v>1250</v>
      </c>
      <c r="U32" s="415" t="s">
        <v>124</v>
      </c>
    </row>
    <row r="33" spans="1:21" ht="12" customHeight="1">
      <c r="A33" s="175" t="s">
        <v>122</v>
      </c>
      <c r="B33" s="1244"/>
      <c r="C33" s="1082" t="s">
        <v>1075</v>
      </c>
      <c r="D33" s="400"/>
      <c r="F33" s="1357">
        <f>[1]!F430Personnel</f>
        <v>0</v>
      </c>
      <c r="G33" s="1656">
        <v>0</v>
      </c>
      <c r="H33" s="1657"/>
      <c r="I33" s="1358">
        <f>[1]!F430BudgFY</f>
        <v>0</v>
      </c>
      <c r="J33" s="1074">
        <v>0</v>
      </c>
      <c r="K33" s="416" t="s">
        <v>122</v>
      </c>
      <c r="L33" s="1263"/>
      <c r="M33" s="407" t="s">
        <v>125</v>
      </c>
      <c r="N33" s="96"/>
      <c r="O33" s="177" t="s">
        <v>246</v>
      </c>
      <c r="R33" s="96"/>
      <c r="S33" s="403">
        <f>[1]!F686BudgFY</f>
        <v>0</v>
      </c>
      <c r="T33" s="11">
        <v>0</v>
      </c>
      <c r="U33" s="416" t="s">
        <v>125</v>
      </c>
    </row>
    <row r="34" spans="1:21" ht="12" customHeight="1">
      <c r="A34" s="414" t="s">
        <v>123</v>
      </c>
      <c r="B34" s="1244"/>
      <c r="C34" s="1082" t="s">
        <v>1074</v>
      </c>
      <c r="D34" s="400"/>
      <c r="F34" s="1357">
        <f>[1]!F435Personnel</f>
        <v>0</v>
      </c>
      <c r="G34" s="1656">
        <v>0</v>
      </c>
      <c r="H34" s="1657"/>
      <c r="I34" s="1358">
        <f>[1]!F435BudgFY</f>
        <v>0</v>
      </c>
      <c r="J34" s="1074">
        <v>0</v>
      </c>
      <c r="K34" s="416" t="s">
        <v>123</v>
      </c>
      <c r="L34" s="401"/>
      <c r="M34" s="417" t="s">
        <v>126</v>
      </c>
      <c r="N34" s="96"/>
      <c r="O34" s="177" t="s">
        <v>247</v>
      </c>
      <c r="R34" s="96"/>
      <c r="S34" s="403">
        <f>[1]!F691BudgFY</f>
        <v>0</v>
      </c>
      <c r="T34" s="11">
        <v>0</v>
      </c>
      <c r="U34" s="416" t="s">
        <v>126</v>
      </c>
    </row>
    <row r="35" spans="1:21" ht="12" customHeight="1">
      <c r="A35" s="414" t="s">
        <v>124</v>
      </c>
      <c r="B35" s="1244"/>
      <c r="C35" s="1082" t="s">
        <v>1073</v>
      </c>
      <c r="D35" s="400"/>
      <c r="F35" s="1357">
        <f>[1]!F450Personnel</f>
        <v>0</v>
      </c>
      <c r="G35" s="1656">
        <v>0</v>
      </c>
      <c r="H35" s="1657"/>
      <c r="I35" s="1358">
        <f>[1]!F450BudgFY</f>
        <v>0</v>
      </c>
      <c r="J35" s="1074">
        <v>0</v>
      </c>
      <c r="K35" s="416" t="s">
        <v>124</v>
      </c>
      <c r="L35" s="1263"/>
      <c r="M35" s="418" t="s">
        <v>248</v>
      </c>
      <c r="O35" s="177" t="s">
        <v>249</v>
      </c>
      <c r="R35" s="96"/>
      <c r="S35" s="403">
        <f>[1]!F700BudgFY</f>
        <v>0</v>
      </c>
      <c r="T35" s="11">
        <v>0</v>
      </c>
      <c r="U35" s="416" t="s">
        <v>248</v>
      </c>
    </row>
    <row r="36" spans="1:21" ht="12" customHeight="1">
      <c r="A36" s="1251" t="s">
        <v>125</v>
      </c>
      <c r="B36" s="1244"/>
      <c r="C36" s="1245" t="s">
        <v>1076</v>
      </c>
      <c r="D36" s="1246"/>
      <c r="F36" s="1357">
        <f t="array" ref="F36">[1]!F456Personnel</f>
        <v>0</v>
      </c>
      <c r="G36" s="1656">
        <v>0</v>
      </c>
      <c r="H36" s="1657"/>
      <c r="I36" s="1358">
        <f t="array" ref="I36">[1]!F456BudgFY</f>
        <v>0</v>
      </c>
      <c r="J36" s="1074">
        <v>0</v>
      </c>
      <c r="K36" s="416" t="s">
        <v>125</v>
      </c>
      <c r="L36" s="401"/>
      <c r="M36" s="414" t="s">
        <v>250</v>
      </c>
      <c r="N36" s="410"/>
      <c r="O36" s="177" t="s">
        <v>251</v>
      </c>
      <c r="R36" s="96"/>
      <c r="S36" s="403">
        <f>[1]!F720BudgFY</f>
        <v>0</v>
      </c>
      <c r="T36" s="11">
        <v>0</v>
      </c>
      <c r="U36" s="415" t="s">
        <v>250</v>
      </c>
    </row>
    <row r="37" spans="1:21" ht="12" customHeight="1">
      <c r="A37" s="418" t="s">
        <v>126</v>
      </c>
      <c r="B37" s="1244"/>
      <c r="C37" s="1247" t="s">
        <v>252</v>
      </c>
      <c r="D37" s="1248"/>
      <c r="F37" s="1357">
        <f>[1]!F460Personnel</f>
        <v>0</v>
      </c>
      <c r="G37" s="1656">
        <v>0</v>
      </c>
      <c r="H37" s="1657"/>
      <c r="I37" s="1358">
        <f>[1]!F460BudgFY</f>
        <v>0</v>
      </c>
      <c r="J37" s="1074">
        <v>0</v>
      </c>
      <c r="K37" s="416" t="s">
        <v>126</v>
      </c>
      <c r="L37" s="401"/>
      <c r="M37" s="414" t="s">
        <v>253</v>
      </c>
      <c r="N37" s="410"/>
      <c r="O37" s="177" t="s">
        <v>254</v>
      </c>
      <c r="P37" s="1479"/>
      <c r="Q37" s="1479"/>
      <c r="R37" s="1480"/>
      <c r="S37" s="1500">
        <f>[1]!F850BudgFY</f>
        <v>28000</v>
      </c>
      <c r="T37" s="11">
        <v>28000</v>
      </c>
      <c r="U37" s="421" t="s">
        <v>253</v>
      </c>
    </row>
    <row r="38" spans="1:21" ht="12" customHeight="1" thickBot="1">
      <c r="A38" s="1251" t="s">
        <v>248</v>
      </c>
      <c r="B38" s="1244"/>
      <c r="C38" s="1084" t="s">
        <v>1077</v>
      </c>
      <c r="D38" s="1246"/>
      <c r="E38" s="400"/>
      <c r="F38" s="1361">
        <f>[1]!F465499Personnel</f>
        <v>0</v>
      </c>
      <c r="G38" s="1664">
        <v>0</v>
      </c>
      <c r="H38" s="1665"/>
      <c r="I38" s="1362">
        <f>[1]!F465499BudgFY</f>
        <v>0</v>
      </c>
      <c r="J38" s="10">
        <v>0</v>
      </c>
      <c r="K38" s="416" t="s">
        <v>248</v>
      </c>
      <c r="L38" s="401"/>
      <c r="M38" s="417" t="s">
        <v>255</v>
      </c>
      <c r="N38" s="410"/>
      <c r="O38" s="177" t="s">
        <v>1427</v>
      </c>
      <c r="P38" s="1479"/>
      <c r="Q38" s="1479"/>
      <c r="R38" s="1480"/>
      <c r="S38" s="1500">
        <f>[1]!OtherFundsBudgFY</f>
        <v>3000000</v>
      </c>
      <c r="T38" s="11">
        <v>2855000</v>
      </c>
      <c r="U38" s="421" t="s">
        <v>255</v>
      </c>
    </row>
    <row r="39" spans="1:21" ht="12" customHeight="1" thickBot="1">
      <c r="A39" s="418" t="s">
        <v>250</v>
      </c>
      <c r="B39" s="1248"/>
      <c r="C39" s="1084" t="s">
        <v>1078</v>
      </c>
      <c r="D39" s="199"/>
      <c r="F39" s="419">
        <f>SUM(F29:F38)</f>
        <v>0</v>
      </c>
      <c r="G39" s="1662">
        <f>SUM(G29:H38)</f>
        <v>0</v>
      </c>
      <c r="H39" s="1663"/>
      <c r="I39" s="412">
        <f>SUM(I29:I38)</f>
        <v>0</v>
      </c>
      <c r="J39" s="412">
        <f>SUM(J29:J38)</f>
        <v>0</v>
      </c>
      <c r="K39" s="416" t="s">
        <v>250</v>
      </c>
      <c r="L39" s="401"/>
      <c r="O39" s="116" t="s">
        <v>256</v>
      </c>
      <c r="P39" s="96"/>
      <c r="Q39" s="96"/>
      <c r="R39" s="96"/>
      <c r="S39" s="96"/>
      <c r="T39" s="96"/>
    </row>
    <row r="40" spans="1:21" ht="12" customHeight="1" thickTop="1" thickBot="1">
      <c r="A40" s="418" t="s">
        <v>253</v>
      </c>
      <c r="B40" s="1248"/>
      <c r="C40" s="1084" t="s">
        <v>1079</v>
      </c>
      <c r="D40" s="199"/>
      <c r="F40" s="419">
        <f>F27+F39</f>
        <v>2</v>
      </c>
      <c r="G40" s="1662">
        <f>G27+G39</f>
        <v>2.72</v>
      </c>
      <c r="H40" s="1663"/>
      <c r="I40" s="420">
        <f>I27+I39</f>
        <v>163923</v>
      </c>
      <c r="J40" s="412">
        <f>J27+J39</f>
        <v>117170</v>
      </c>
      <c r="K40" s="416" t="s">
        <v>253</v>
      </c>
      <c r="L40" s="96"/>
      <c r="M40" s="1263" t="s">
        <v>6</v>
      </c>
      <c r="O40" s="19" t="s">
        <v>257</v>
      </c>
      <c r="P40" s="96"/>
      <c r="Q40" s="96"/>
      <c r="R40" s="96"/>
      <c r="S40" s="403">
        <f>[1]!F9__SelfInsBudgFY</f>
        <v>0</v>
      </c>
      <c r="T40" s="11">
        <v>0</v>
      </c>
      <c r="U40" s="411" t="s">
        <v>6</v>
      </c>
    </row>
    <row r="41" spans="1:21" ht="12" customHeight="1" thickTop="1">
      <c r="K41" s="1248"/>
      <c r="L41" s="96"/>
      <c r="M41" s="406" t="s">
        <v>8</v>
      </c>
      <c r="O41" s="1" t="s">
        <v>258</v>
      </c>
      <c r="P41" s="96"/>
      <c r="Q41" s="96"/>
      <c r="R41" s="401"/>
      <c r="S41" s="403">
        <f>[1]!F955BudgFY</f>
        <v>55000</v>
      </c>
      <c r="T41" s="12">
        <v>55000</v>
      </c>
      <c r="U41" s="184" t="s">
        <v>8</v>
      </c>
    </row>
    <row r="42" spans="1:21" ht="12" customHeight="1">
      <c r="A42" s="1658" t="s">
        <v>1080</v>
      </c>
      <c r="B42" s="1659"/>
      <c r="C42" s="1659"/>
      <c r="D42" s="1659"/>
      <c r="E42" s="1659"/>
      <c r="I42" s="1068" t="s">
        <v>129</v>
      </c>
      <c r="J42" s="1275" t="s">
        <v>130</v>
      </c>
      <c r="K42" s="1248"/>
      <c r="L42" s="96"/>
      <c r="M42" s="120" t="s">
        <v>22</v>
      </c>
      <c r="O42" s="14" t="s">
        <v>259</v>
      </c>
      <c r="P42" s="96"/>
      <c r="Q42" s="96"/>
      <c r="R42" s="96"/>
      <c r="S42" s="403">
        <f>[1]!F9__OPEBBudgFY</f>
        <v>0</v>
      </c>
      <c r="T42" s="12">
        <v>0</v>
      </c>
      <c r="U42" s="322" t="s">
        <v>22</v>
      </c>
    </row>
    <row r="43" spans="1:21" ht="12" customHeight="1">
      <c r="A43" s="401" t="s">
        <v>6</v>
      </c>
      <c r="C43" s="1" t="s">
        <v>1081</v>
      </c>
      <c r="D43" s="290"/>
      <c r="I43" s="1499" cm="1">
        <f t="array" ref="I43">[1]!F020TeachCompIncrBudgFY</f>
        <v>20000</v>
      </c>
      <c r="J43" s="1073">
        <v>20000</v>
      </c>
      <c r="K43" s="1254" t="s">
        <v>6</v>
      </c>
      <c r="L43" s="96"/>
      <c r="M43" s="120" t="s">
        <v>40</v>
      </c>
      <c r="O43" s="19" t="s">
        <v>260</v>
      </c>
      <c r="P43" s="96"/>
      <c r="Q43" s="96"/>
      <c r="R43" s="96"/>
      <c r="S43" s="403">
        <f>[1]!F9__OtherBudgFY</f>
        <v>0</v>
      </c>
      <c r="T43" s="12">
        <v>0</v>
      </c>
      <c r="U43" s="322" t="s">
        <v>40</v>
      </c>
    </row>
    <row r="44" spans="1:21" ht="12" customHeight="1">
      <c r="A44" s="401" t="s">
        <v>8</v>
      </c>
      <c r="B44" s="96"/>
      <c r="C44" s="96" t="s">
        <v>1082</v>
      </c>
      <c r="D44" s="96"/>
      <c r="E44" s="401"/>
      <c r="I44" s="1499" cm="1">
        <f t="array" ref="I44">[1]!F020ClassSizeRedBudgFY</f>
        <v>0</v>
      </c>
      <c r="J44" s="1074">
        <v>0</v>
      </c>
      <c r="K44" s="415" t="s">
        <v>8</v>
      </c>
      <c r="L44" s="96"/>
      <c r="N44" s="410"/>
      <c r="O44" s="96"/>
      <c r="P44" s="96"/>
      <c r="Q44" s="96"/>
      <c r="R44" s="96"/>
      <c r="U44" s="177"/>
    </row>
    <row r="45" spans="1:21" ht="12.75" customHeight="1">
      <c r="A45" s="401" t="s">
        <v>22</v>
      </c>
      <c r="B45" s="96"/>
      <c r="C45" s="96" t="s">
        <v>1083</v>
      </c>
      <c r="D45" s="96"/>
      <c r="E45" s="401"/>
      <c r="I45" s="1499" cm="1">
        <f t="array" ref="I45">[1]!F020DropPrevProgBudgFY</f>
        <v>0</v>
      </c>
      <c r="J45" s="1074">
        <v>0</v>
      </c>
      <c r="K45" s="415" t="s">
        <v>22</v>
      </c>
      <c r="L45" s="96"/>
      <c r="N45" s="1263"/>
      <c r="S45" s="424"/>
      <c r="T45" s="96"/>
    </row>
    <row r="46" spans="1:21" ht="12.75" customHeight="1">
      <c r="A46" s="401" t="s">
        <v>40</v>
      </c>
      <c r="B46" s="96"/>
      <c r="C46" s="96" t="s">
        <v>1084</v>
      </c>
      <c r="D46" s="96"/>
      <c r="E46" s="401"/>
      <c r="I46" s="329" cm="1">
        <f t="array" ref="I46">[1]!F020InstrImprProgBudgFY</f>
        <v>36000</v>
      </c>
      <c r="J46" s="1074">
        <v>36000</v>
      </c>
      <c r="K46" s="415" t="s">
        <v>40</v>
      </c>
      <c r="M46" s="175" t="s">
        <v>261</v>
      </c>
      <c r="N46" s="96" t="s">
        <v>1003</v>
      </c>
    </row>
    <row r="47" spans="1:21" ht="12.75" customHeight="1" thickBot="1">
      <c r="A47" s="401" t="s">
        <v>98</v>
      </c>
      <c r="B47" s="96"/>
      <c r="C47" s="96" t="s">
        <v>262</v>
      </c>
      <c r="D47" s="96"/>
      <c r="E47" s="401"/>
      <c r="I47" s="1072">
        <f>SUM(I43:I46)</f>
        <v>56000</v>
      </c>
      <c r="J47" s="1072">
        <f>SUM(J43:J46)</f>
        <v>56000</v>
      </c>
      <c r="K47" s="415" t="s">
        <v>98</v>
      </c>
      <c r="M47" s="175" t="s">
        <v>263</v>
      </c>
      <c r="N47" s="96" t="s">
        <v>264</v>
      </c>
      <c r="S47" s="1437"/>
    </row>
    <row r="48" spans="1:21" ht="12.75" customHeight="1" thickTop="1">
      <c r="A48" s="1263"/>
      <c r="B48" s="1263"/>
      <c r="E48" s="401"/>
      <c r="I48" s="1069"/>
      <c r="J48" s="1071"/>
      <c r="K48" s="1248"/>
      <c r="M48" s="175"/>
      <c r="N48" s="96"/>
    </row>
    <row r="49" spans="1:28">
      <c r="A49" s="425"/>
      <c r="B49" s="1263"/>
      <c r="E49" s="401"/>
      <c r="I49" s="1070"/>
      <c r="J49" s="1070"/>
    </row>
    <row r="50" spans="1:28">
      <c r="E50" s="1660"/>
      <c r="F50" s="1660"/>
      <c r="G50" s="1661"/>
      <c r="H50" s="1661"/>
    </row>
    <row r="51" spans="1:28">
      <c r="E51" s="1654"/>
      <c r="F51" s="1654"/>
      <c r="G51" s="1654"/>
      <c r="H51" s="1654"/>
      <c r="AB51" s="422"/>
    </row>
    <row r="52" spans="1:28">
      <c r="E52" s="1654"/>
      <c r="F52" s="1654"/>
      <c r="G52" s="1655"/>
      <c r="H52" s="1655"/>
      <c r="AB52" s="422"/>
    </row>
    <row r="53" spans="1:28">
      <c r="E53" s="1654"/>
      <c r="F53" s="1654"/>
      <c r="G53" s="1655"/>
      <c r="H53" s="1655"/>
      <c r="AB53" s="422"/>
    </row>
    <row r="54" spans="1:28">
      <c r="E54" s="1654"/>
      <c r="F54" s="1654"/>
      <c r="G54" s="1655"/>
      <c r="H54" s="1655"/>
      <c r="AB54" s="422"/>
    </row>
    <row r="55" spans="1:28">
      <c r="E55" s="1654"/>
      <c r="F55" s="1654"/>
      <c r="G55" s="1655"/>
      <c r="H55" s="1655"/>
      <c r="AB55" s="422"/>
    </row>
    <row r="56" spans="1:28">
      <c r="E56" s="400"/>
      <c r="AB56" s="422"/>
    </row>
    <row r="57" spans="1:28">
      <c r="T57" s="96"/>
      <c r="W57" s="401"/>
    </row>
  </sheetData>
  <sheetProtection sheet="1" formatCells="0" formatColumns="0" formatRows="0"/>
  <mergeCells count="53">
    <mergeCell ref="G19:H19"/>
    <mergeCell ref="G9:H9"/>
    <mergeCell ref="G23:H23"/>
    <mergeCell ref="G24:H24"/>
    <mergeCell ref="G25:H25"/>
    <mergeCell ref="G18:H18"/>
    <mergeCell ref="G16:H16"/>
    <mergeCell ref="G13:H13"/>
    <mergeCell ref="G14:H14"/>
    <mergeCell ref="G15:H15"/>
    <mergeCell ref="G17:H17"/>
    <mergeCell ref="G20:H20"/>
    <mergeCell ref="P1:Q1"/>
    <mergeCell ref="J1:L1"/>
    <mergeCell ref="G3:H3"/>
    <mergeCell ref="F5:H5"/>
    <mergeCell ref="G6:H6"/>
    <mergeCell ref="D1:F1"/>
    <mergeCell ref="B4:D4"/>
    <mergeCell ref="G7:H7"/>
    <mergeCell ref="G8:H8"/>
    <mergeCell ref="G10:H10"/>
    <mergeCell ref="G11:H11"/>
    <mergeCell ref="G12:H12"/>
    <mergeCell ref="G39:H39"/>
    <mergeCell ref="G32:H32"/>
    <mergeCell ref="G35:H35"/>
    <mergeCell ref="G30:H30"/>
    <mergeCell ref="G37:H37"/>
    <mergeCell ref="G26:H26"/>
    <mergeCell ref="G21:H21"/>
    <mergeCell ref="G22:H22"/>
    <mergeCell ref="G34:H34"/>
    <mergeCell ref="G29:H29"/>
    <mergeCell ref="G33:H33"/>
    <mergeCell ref="G31:H31"/>
    <mergeCell ref="G27:H27"/>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6"/>
  <sheetViews>
    <sheetView showGridLines="0" topLeftCell="A7" zoomScaleNormal="100" zoomScaleSheetLayoutView="115" workbookViewId="0">
      <selection activeCell="Q35" sqref="Q35"/>
    </sheetView>
  </sheetViews>
  <sheetFormatPr defaultColWidth="8" defaultRowHeight="11.4"/>
  <cols>
    <col min="1" max="2" width="2.81640625" style="303" customWidth="1"/>
    <col min="3" max="3" width="6" style="303" customWidth="1"/>
    <col min="4" max="4" width="15.81640625" style="303" customWidth="1"/>
    <col min="5" max="5" width="2.81640625" style="303" customWidth="1"/>
    <col min="6" max="6" width="8.81640625" style="303" customWidth="1"/>
    <col min="7" max="7" width="3.81640625" style="303" customWidth="1"/>
    <col min="8" max="8" width="12.81640625" style="303" customWidth="1"/>
    <col min="9" max="9" width="6.54296875" style="303" customWidth="1"/>
    <col min="10" max="10" width="11.453125" style="303" customWidth="1"/>
    <col min="11" max="11" width="3.81640625" style="303" customWidth="1"/>
    <col min="12" max="12" width="2.453125" style="303" customWidth="1"/>
    <col min="13" max="13" width="11.453125" style="303" customWidth="1"/>
    <col min="14" max="14" width="8" style="303" customWidth="1"/>
    <col min="15" max="15" width="1.81640625" style="303" customWidth="1"/>
    <col min="16" max="16" width="4.81640625" style="303" customWidth="1"/>
    <col min="17" max="17" width="18" style="303" customWidth="1"/>
    <col min="18" max="18" width="10.81640625" style="303" customWidth="1"/>
    <col min="19" max="19" width="8" style="303" customWidth="1"/>
    <col min="20" max="20" width="2.6328125" style="303" customWidth="1"/>
    <col min="21" max="21" width="8" style="303" customWidth="1"/>
    <col min="22" max="22" width="1.54296875" style="303" customWidth="1"/>
    <col min="23" max="23" width="1.453125" style="303" customWidth="1"/>
    <col min="24" max="29" width="8" style="303" customWidth="1"/>
    <col min="30" max="16384" width="8" style="303"/>
  </cols>
  <sheetData>
    <row r="1" spans="1:19" ht="15">
      <c r="A1" s="426"/>
      <c r="B1" s="445"/>
      <c r="C1" s="1305" t="s">
        <v>140</v>
      </c>
      <c r="D1" s="1693" t="str">
        <f>DistrictName</f>
        <v>Mary C O'Brien Accommodation District</v>
      </c>
      <c r="E1" s="1605"/>
      <c r="F1" s="1132" t="s">
        <v>1</v>
      </c>
      <c r="G1" s="1693" t="str">
        <f>Cover!H1</f>
        <v>Pinal</v>
      </c>
      <c r="H1" s="1605"/>
      <c r="I1" s="1605"/>
      <c r="J1" s="443"/>
      <c r="K1" s="1133"/>
      <c r="L1" s="1134" t="s">
        <v>57</v>
      </c>
      <c r="M1" s="429" t="str">
        <f>Cover!S1</f>
        <v>110100000</v>
      </c>
    </row>
    <row r="2" spans="1:19" ht="15" customHeight="1">
      <c r="A2" s="430"/>
      <c r="B2" s="1281"/>
      <c r="C2" s="1281"/>
      <c r="D2" s="1281"/>
      <c r="E2" s="1281"/>
      <c r="F2" s="1281"/>
      <c r="G2" s="1281"/>
      <c r="H2" s="1281"/>
      <c r="I2" s="1281"/>
      <c r="J2" s="1281"/>
      <c r="K2" s="96"/>
      <c r="L2" s="1134" t="s">
        <v>16</v>
      </c>
      <c r="M2" s="431" t="str">
        <f>Cover!C8</f>
        <v>Proposed</v>
      </c>
    </row>
    <row r="3" spans="1:19" ht="12" customHeight="1">
      <c r="A3" s="1695" t="s">
        <v>1332</v>
      </c>
      <c r="B3" s="1696"/>
      <c r="C3" s="1696"/>
      <c r="D3" s="1696"/>
      <c r="E3" s="1696"/>
      <c r="F3" s="1696"/>
      <c r="G3" s="1696"/>
      <c r="H3" s="1696"/>
      <c r="I3" s="1696"/>
      <c r="J3" s="1696"/>
      <c r="K3" s="1696"/>
      <c r="L3" s="1696"/>
      <c r="M3" s="1696"/>
    </row>
    <row r="4" spans="1:19" ht="12" customHeight="1">
      <c r="A4" s="432" t="s">
        <v>265</v>
      </c>
      <c r="B4" s="433"/>
      <c r="C4" s="433"/>
      <c r="D4" s="433"/>
      <c r="E4" s="433"/>
      <c r="F4" s="434"/>
      <c r="G4" s="434"/>
      <c r="H4" s="434"/>
      <c r="I4" s="434"/>
      <c r="J4" s="434"/>
      <c r="K4" s="433"/>
      <c r="L4" s="433"/>
      <c r="M4" s="435"/>
    </row>
    <row r="5" spans="1:19" ht="3" customHeight="1">
      <c r="A5" s="432"/>
      <c r="B5" s="433"/>
      <c r="C5" s="433"/>
      <c r="D5" s="433"/>
      <c r="E5" s="433"/>
      <c r="F5" s="433"/>
      <c r="G5" s="433"/>
      <c r="H5" s="433"/>
      <c r="I5" s="433"/>
      <c r="J5" s="433"/>
      <c r="K5" s="433"/>
      <c r="L5" s="433"/>
      <c r="M5" s="435"/>
    </row>
    <row r="6" spans="1:19" ht="9.75" customHeight="1">
      <c r="A6" s="436"/>
      <c r="B6" s="1701" t="s">
        <v>682</v>
      </c>
      <c r="C6" s="1701"/>
      <c r="D6" s="1701"/>
      <c r="E6" s="1281"/>
      <c r="F6" s="1281"/>
      <c r="G6" s="1281"/>
      <c r="H6" s="1281"/>
      <c r="I6" s="1281"/>
      <c r="J6" s="437" t="s">
        <v>266</v>
      </c>
      <c r="K6" s="433"/>
      <c r="L6" s="433"/>
      <c r="M6" s="438" t="s">
        <v>267</v>
      </c>
    </row>
    <row r="7" spans="1:19" ht="10.5" customHeight="1">
      <c r="A7" s="439" t="s">
        <v>42</v>
      </c>
      <c r="B7" s="1701"/>
      <c r="C7" s="1701"/>
      <c r="D7" s="1701"/>
      <c r="E7" s="433"/>
      <c r="F7" s="433"/>
      <c r="G7" s="433"/>
      <c r="H7" s="433"/>
      <c r="I7" s="433"/>
      <c r="J7" s="437" t="s">
        <v>268</v>
      </c>
      <c r="K7" s="440"/>
      <c r="L7" s="1281"/>
      <c r="M7" s="438" t="s">
        <v>269</v>
      </c>
    </row>
    <row r="8" spans="1:19" ht="10.5" customHeight="1">
      <c r="A8" s="439"/>
      <c r="B8" s="433"/>
      <c r="C8" s="433"/>
      <c r="D8" s="433"/>
      <c r="E8" s="433"/>
      <c r="F8" s="433"/>
      <c r="G8" s="433"/>
      <c r="H8" s="433"/>
      <c r="I8" s="433"/>
      <c r="J8" s="441" t="s">
        <v>270</v>
      </c>
      <c r="K8" s="440"/>
      <c r="L8" s="1281"/>
      <c r="M8" s="442" t="s">
        <v>271</v>
      </c>
    </row>
    <row r="9" spans="1:19" ht="11.25" customHeight="1">
      <c r="A9" s="180" t="s">
        <v>272</v>
      </c>
      <c r="B9" s="1170" t="s">
        <v>1331</v>
      </c>
      <c r="C9" s="443"/>
      <c r="D9" s="434"/>
      <c r="E9" s="434"/>
      <c r="F9" s="434"/>
      <c r="G9" s="433"/>
      <c r="H9" s="1281"/>
      <c r="I9" s="433"/>
      <c r="J9" s="427"/>
      <c r="K9" s="440"/>
      <c r="L9" s="1281"/>
      <c r="M9" s="295"/>
      <c r="N9" s="1681" t="str">
        <f>IF((H10-J10)&gt;=0,"","The RCL amount allocated to the M&amp;O Fund exceeds the calculated RCL amount.")</f>
        <v/>
      </c>
      <c r="O9" s="1681"/>
      <c r="P9" s="1681"/>
      <c r="Q9" s="1681"/>
      <c r="R9" s="1681"/>
      <c r="S9" s="1681"/>
    </row>
    <row r="10" spans="1:19" ht="12.75" customHeight="1">
      <c r="A10" s="295"/>
      <c r="B10" s="444" t="s">
        <v>944</v>
      </c>
      <c r="C10" s="443"/>
      <c r="D10" s="445"/>
      <c r="E10" s="445"/>
      <c r="F10" s="445"/>
      <c r="G10" s="446" t="s">
        <v>273</v>
      </c>
      <c r="H10" s="127">
        <f>RCL</f>
        <v>2138299</v>
      </c>
      <c r="I10" s="447" t="s">
        <v>273</v>
      </c>
      <c r="J10" s="6">
        <v>2138299</v>
      </c>
      <c r="K10" s="449"/>
      <c r="L10" s="447" t="s">
        <v>273</v>
      </c>
      <c r="M10" s="450">
        <f>IF((H10-J10)&lt;0,"Error",H10-J10)</f>
        <v>0</v>
      </c>
      <c r="N10" s="1681"/>
      <c r="O10" s="1681"/>
      <c r="P10" s="1681"/>
      <c r="Q10" s="1681"/>
      <c r="R10" s="1681"/>
      <c r="S10" s="1681"/>
    </row>
    <row r="11" spans="1:19" ht="12" hidden="1">
      <c r="A11" s="451"/>
      <c r="B11" s="452"/>
      <c r="C11" s="453"/>
      <c r="D11" s="1281"/>
      <c r="E11" s="1281"/>
      <c r="F11" s="1281"/>
      <c r="G11" s="447"/>
      <c r="H11" s="454"/>
      <c r="I11" s="449"/>
      <c r="J11" s="449"/>
      <c r="K11" s="449"/>
      <c r="L11" s="1281"/>
      <c r="M11" s="449"/>
    </row>
    <row r="12" spans="1:19" ht="3" customHeight="1">
      <c r="A12" s="455"/>
      <c r="B12" s="452"/>
      <c r="C12" s="1700"/>
      <c r="D12" s="1700"/>
      <c r="E12" s="1700"/>
      <c r="F12" s="1700"/>
      <c r="G12" s="447"/>
      <c r="H12" s="1265"/>
      <c r="I12" s="449"/>
      <c r="J12" s="449"/>
      <c r="K12" s="449"/>
      <c r="L12" s="1281"/>
      <c r="M12" s="449"/>
    </row>
    <row r="13" spans="1:19" ht="13.5" hidden="1" customHeight="1">
      <c r="A13" s="456"/>
      <c r="B13" s="457"/>
      <c r="C13" s="453"/>
      <c r="D13" s="295"/>
      <c r="E13" s="1281"/>
      <c r="F13" s="1281"/>
      <c r="G13" s="447"/>
      <c r="H13" s="445"/>
    </row>
    <row r="14" spans="1:19" ht="25.5" customHeight="1">
      <c r="A14" s="458" t="s">
        <v>274</v>
      </c>
      <c r="B14" s="459" t="s">
        <v>275</v>
      </c>
      <c r="C14" s="1691" t="s">
        <v>1333</v>
      </c>
      <c r="D14" s="1691"/>
      <c r="E14" s="1691"/>
      <c r="F14" s="1691"/>
      <c r="G14" s="446" t="s">
        <v>273</v>
      </c>
      <c r="H14" s="448">
        <f>PreAdjDAA</f>
        <v>137743</v>
      </c>
      <c r="I14" s="447"/>
      <c r="J14" s="1265"/>
      <c r="K14" s="449"/>
      <c r="L14" s="1281"/>
      <c r="M14" s="1265"/>
    </row>
    <row r="15" spans="1:19" ht="12.75" customHeight="1">
      <c r="A15" s="455"/>
      <c r="B15" s="459" t="s">
        <v>276</v>
      </c>
      <c r="C15" s="1699" t="s">
        <v>1004</v>
      </c>
      <c r="D15" s="1699"/>
      <c r="E15" s="1699"/>
      <c r="F15" s="1699"/>
      <c r="G15" s="446" t="s">
        <v>273</v>
      </c>
      <c r="H15" s="448">
        <f>TotalDAAAdj</f>
        <v>0</v>
      </c>
      <c r="I15" s="447"/>
      <c r="J15" s="1265"/>
      <c r="K15" s="449"/>
      <c r="L15" s="1281"/>
      <c r="M15" s="1265"/>
      <c r="N15" s="1681" t="str">
        <f>IF((H17-J17)&gt;=0,"","The DAA amount allocated to the M&amp;O Fund exceeds the calculated DAA amount.")</f>
        <v/>
      </c>
      <c r="O15" s="1681"/>
      <c r="P15" s="1681"/>
      <c r="Q15" s="1681"/>
      <c r="R15" s="1681"/>
      <c r="S15" s="1681"/>
    </row>
    <row r="16" spans="1:19" ht="27" hidden="1" customHeight="1">
      <c r="A16" s="455"/>
      <c r="B16" s="460"/>
      <c r="C16" s="1691"/>
      <c r="D16" s="1691"/>
      <c r="E16" s="1691"/>
      <c r="F16" s="1691"/>
      <c r="G16" s="447"/>
      <c r="H16" s="461"/>
      <c r="I16" s="447"/>
      <c r="J16" s="1265"/>
      <c r="K16" s="449"/>
      <c r="L16" s="1281"/>
      <c r="M16" s="1265"/>
      <c r="N16" s="1681"/>
      <c r="O16" s="1681"/>
      <c r="P16" s="1681"/>
      <c r="Q16" s="1681"/>
      <c r="R16" s="1681"/>
      <c r="S16" s="1681"/>
    </row>
    <row r="17" spans="1:28" ht="12.75" customHeight="1">
      <c r="A17" s="451"/>
      <c r="B17" s="462" t="s">
        <v>277</v>
      </c>
      <c r="C17" s="199" t="s">
        <v>278</v>
      </c>
      <c r="D17" s="445"/>
      <c r="E17" s="1281"/>
      <c r="F17" s="1281"/>
      <c r="G17" s="447" t="s">
        <v>273</v>
      </c>
      <c r="H17" s="463">
        <f>H14+H15</f>
        <v>137743</v>
      </c>
      <c r="I17" s="447"/>
      <c r="J17" s="89"/>
      <c r="K17" s="449"/>
      <c r="L17" s="1281"/>
      <c r="M17" s="464">
        <f>IF((H17-J17)&lt;0,"Error",H17-J17)</f>
        <v>137743</v>
      </c>
      <c r="N17" s="1681"/>
      <c r="O17" s="1681"/>
      <c r="P17" s="1681"/>
      <c r="Q17" s="1681"/>
      <c r="R17" s="1681"/>
      <c r="S17" s="1681"/>
    </row>
    <row r="18" spans="1:28" ht="45.75" customHeight="1">
      <c r="A18" s="465" t="s">
        <v>279</v>
      </c>
      <c r="B18" s="1682" t="s">
        <v>1334</v>
      </c>
      <c r="C18" s="1682"/>
      <c r="D18" s="1682"/>
      <c r="E18" s="1682"/>
      <c r="F18" s="1682"/>
      <c r="G18" s="1682"/>
      <c r="H18" s="1682"/>
      <c r="I18" s="1682"/>
      <c r="J18" s="454"/>
      <c r="K18" s="449"/>
      <c r="L18" s="1281"/>
      <c r="M18" s="449"/>
      <c r="N18" s="443"/>
      <c r="AA18" s="1175" t="s">
        <v>280</v>
      </c>
      <c r="AB18" s="443"/>
    </row>
    <row r="19" spans="1:28" ht="12">
      <c r="A19" s="447"/>
      <c r="B19" s="466" t="s">
        <v>275</v>
      </c>
      <c r="C19" s="445" t="s">
        <v>281</v>
      </c>
      <c r="D19" s="445"/>
      <c r="E19" s="1281"/>
      <c r="F19" s="1281"/>
      <c r="G19" s="1281"/>
      <c r="H19" s="1281"/>
      <c r="I19" s="447" t="s">
        <v>42</v>
      </c>
      <c r="J19" s="91"/>
      <c r="K19" s="449"/>
      <c r="L19" s="1281"/>
      <c r="M19" s="449"/>
    </row>
    <row r="20" spans="1:28" ht="12" customHeight="1">
      <c r="A20" s="455"/>
      <c r="B20" s="466" t="s">
        <v>276</v>
      </c>
      <c r="C20" s="445" t="s">
        <v>180</v>
      </c>
      <c r="D20" s="445"/>
      <c r="E20" s="1281"/>
      <c r="F20" s="1281"/>
      <c r="G20" s="1281"/>
      <c r="H20" s="1281"/>
      <c r="I20" s="447"/>
      <c r="J20" s="467"/>
      <c r="K20" s="449"/>
      <c r="L20" s="1281"/>
      <c r="M20" s="91"/>
    </row>
    <row r="21" spans="1:28" ht="12" customHeight="1">
      <c r="A21" s="447"/>
      <c r="B21" s="105" t="s">
        <v>277</v>
      </c>
      <c r="C21" s="445" t="s">
        <v>282</v>
      </c>
      <c r="D21" s="445"/>
      <c r="E21" s="1281"/>
      <c r="F21" s="1281"/>
      <c r="G21" s="1281"/>
      <c r="H21" s="1281"/>
      <c r="I21" s="447" t="s">
        <v>42</v>
      </c>
      <c r="J21" s="91"/>
      <c r="K21" s="449"/>
      <c r="L21" s="453"/>
      <c r="M21" s="7"/>
    </row>
    <row r="22" spans="1:28" ht="12" customHeight="1">
      <c r="A22" s="468" t="s">
        <v>283</v>
      </c>
      <c r="B22" s="1697" t="s">
        <v>1085</v>
      </c>
      <c r="C22" s="1698"/>
      <c r="D22" s="1698"/>
      <c r="E22" s="1698"/>
      <c r="F22" s="1698"/>
      <c r="G22" s="1698"/>
      <c r="H22" s="1698"/>
      <c r="I22" s="1694"/>
      <c r="J22" s="454"/>
      <c r="K22" s="449"/>
      <c r="L22" s="1281"/>
      <c r="M22" s="467"/>
      <c r="O22" s="1685"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685"/>
      <c r="Q22" s="1685"/>
      <c r="R22" s="1685"/>
      <c r="S22" s="1685"/>
      <c r="T22" s="1685"/>
      <c r="U22" s="1685"/>
    </row>
    <row r="23" spans="1:28" ht="24" customHeight="1">
      <c r="A23" s="456"/>
      <c r="B23" s="1698"/>
      <c r="C23" s="1698"/>
      <c r="D23" s="1698"/>
      <c r="E23" s="1698"/>
      <c r="F23" s="1698"/>
      <c r="G23" s="1698"/>
      <c r="H23" s="1698"/>
      <c r="I23" s="1694"/>
      <c r="J23" s="6">
        <v>4000000</v>
      </c>
      <c r="K23" s="449"/>
      <c r="L23" s="1281"/>
      <c r="M23" s="7">
        <v>721429</v>
      </c>
      <c r="O23" s="1685"/>
      <c r="P23" s="1685"/>
      <c r="Q23" s="1685"/>
      <c r="R23" s="1685"/>
      <c r="S23" s="1685"/>
      <c r="T23" s="1685"/>
      <c r="U23" s="1685"/>
    </row>
    <row r="24" spans="1:28" s="471" customFormat="1" ht="12" customHeight="1">
      <c r="A24" s="465" t="s">
        <v>284</v>
      </c>
      <c r="B24" s="1278" t="s">
        <v>1005</v>
      </c>
      <c r="C24" s="478"/>
      <c r="D24" s="469"/>
      <c r="E24" s="469"/>
      <c r="F24" s="469"/>
      <c r="G24" s="469"/>
      <c r="H24" s="469"/>
      <c r="I24" s="469"/>
      <c r="J24" s="469"/>
      <c r="K24" s="470"/>
      <c r="L24" s="469"/>
      <c r="M24" s="470"/>
    </row>
    <row r="25" spans="1:28" ht="13.5" customHeight="1">
      <c r="A25" s="472"/>
      <c r="B25" s="473" t="s">
        <v>285</v>
      </c>
      <c r="C25" s="445"/>
      <c r="D25" s="445"/>
      <c r="E25" s="445"/>
      <c r="F25" s="445"/>
      <c r="G25" s="445"/>
      <c r="H25" s="1281"/>
      <c r="I25" s="1281"/>
      <c r="J25" s="1281"/>
      <c r="K25" s="449"/>
      <c r="L25" s="1281"/>
      <c r="M25" s="449"/>
    </row>
    <row r="26" spans="1:28" ht="12">
      <c r="A26" s="472"/>
      <c r="B26" s="1281" t="s">
        <v>275</v>
      </c>
      <c r="C26" s="445" t="s">
        <v>1006</v>
      </c>
      <c r="D26" s="445"/>
      <c r="E26" s="1281"/>
      <c r="F26" s="1281"/>
      <c r="G26" s="1281"/>
      <c r="H26" s="1281"/>
      <c r="I26" s="447" t="s">
        <v>42</v>
      </c>
      <c r="J26" s="91"/>
      <c r="K26" s="449"/>
      <c r="L26" s="1281"/>
      <c r="M26" s="91"/>
    </row>
    <row r="27" spans="1:28" ht="12" customHeight="1">
      <c r="A27" s="472"/>
      <c r="B27" s="1281" t="s">
        <v>276</v>
      </c>
      <c r="C27" s="445" t="s">
        <v>1086</v>
      </c>
      <c r="D27" s="1281"/>
      <c r="E27" s="1281"/>
      <c r="F27" s="1281"/>
      <c r="G27" s="1281"/>
      <c r="H27" s="1281"/>
      <c r="I27" s="447" t="s">
        <v>42</v>
      </c>
      <c r="J27" s="6"/>
      <c r="K27" s="449"/>
      <c r="L27" s="1281"/>
      <c r="M27" s="7"/>
    </row>
    <row r="28" spans="1:28" ht="12" customHeight="1">
      <c r="A28" s="472"/>
      <c r="B28" s="1281" t="s">
        <v>277</v>
      </c>
      <c r="C28" s="445" t="s">
        <v>1087</v>
      </c>
      <c r="D28" s="445"/>
      <c r="E28" s="445"/>
      <c r="F28" s="1281"/>
      <c r="G28" s="1281"/>
      <c r="H28" s="1281"/>
      <c r="I28" s="447" t="s">
        <v>42</v>
      </c>
      <c r="J28" s="6"/>
      <c r="K28" s="449"/>
      <c r="L28" s="1281"/>
      <c r="M28" s="7"/>
    </row>
    <row r="29" spans="1:28" ht="12" customHeight="1">
      <c r="A29" s="472"/>
      <c r="B29" s="466" t="s">
        <v>286</v>
      </c>
      <c r="C29" s="453" t="s">
        <v>287</v>
      </c>
      <c r="D29" s="1281"/>
      <c r="E29" s="1281"/>
      <c r="F29" s="1281"/>
      <c r="G29" s="1281"/>
      <c r="H29" s="1281"/>
      <c r="I29" s="447" t="s">
        <v>42</v>
      </c>
      <c r="J29" s="91"/>
      <c r="K29" s="449"/>
      <c r="L29" s="1281"/>
      <c r="M29" s="91"/>
    </row>
    <row r="30" spans="1:28" ht="14.25" customHeight="1">
      <c r="A30" s="468" t="s">
        <v>288</v>
      </c>
      <c r="B30" s="445" t="s">
        <v>1088</v>
      </c>
      <c r="C30" s="445"/>
      <c r="D30" s="445"/>
      <c r="E30" s="445"/>
      <c r="F30" s="445"/>
      <c r="G30" s="445"/>
      <c r="H30" s="445"/>
      <c r="I30" s="445"/>
      <c r="J30" s="6"/>
      <c r="K30" s="449"/>
      <c r="L30" s="1281"/>
      <c r="M30" s="7"/>
    </row>
    <row r="31" spans="1:28" ht="14.25" customHeight="1">
      <c r="A31" s="468" t="s">
        <v>289</v>
      </c>
      <c r="B31" s="474" t="s">
        <v>1091</v>
      </c>
      <c r="C31" s="445"/>
      <c r="D31" s="445"/>
      <c r="E31" s="445"/>
      <c r="F31" s="445"/>
      <c r="G31" s="445"/>
      <c r="H31" s="445"/>
      <c r="I31" s="1281"/>
      <c r="J31" s="454"/>
      <c r="K31" s="449"/>
      <c r="L31" s="1281"/>
      <c r="M31" s="483"/>
    </row>
    <row r="32" spans="1:28" ht="24" customHeight="1">
      <c r="A32" s="472"/>
      <c r="B32" s="1686" t="s">
        <v>1089</v>
      </c>
      <c r="C32" s="1686"/>
      <c r="D32" s="1686"/>
      <c r="E32" s="1686"/>
      <c r="F32" s="1686"/>
      <c r="G32" s="1686"/>
      <c r="H32" s="1686"/>
      <c r="I32" s="447"/>
      <c r="J32" s="91"/>
      <c r="K32" s="449"/>
      <c r="L32" s="1281"/>
      <c r="M32" s="1265"/>
    </row>
    <row r="33" spans="1:23" ht="12" customHeight="1">
      <c r="A33" s="120" t="s">
        <v>102</v>
      </c>
      <c r="B33" s="445" t="s">
        <v>1090</v>
      </c>
      <c r="C33" s="1281"/>
      <c r="D33" s="445"/>
      <c r="E33" s="1281"/>
      <c r="F33" s="1281"/>
      <c r="G33" s="1281"/>
      <c r="H33" s="1281"/>
      <c r="I33" s="1281"/>
      <c r="J33" s="454"/>
      <c r="K33" s="449"/>
      <c r="L33" s="1281"/>
      <c r="M33" s="449"/>
      <c r="O33" s="475"/>
      <c r="P33" s="443"/>
      <c r="Q33" s="443"/>
      <c r="R33" s="443"/>
      <c r="S33" s="443"/>
      <c r="T33" s="443"/>
      <c r="U33" s="443"/>
      <c r="V33" s="443"/>
    </row>
    <row r="34" spans="1:23" ht="13.5" customHeight="1">
      <c r="A34" s="472"/>
      <c r="B34" s="466" t="s">
        <v>275</v>
      </c>
      <c r="C34" s="1688" t="s">
        <v>1007</v>
      </c>
      <c r="D34" s="1688"/>
      <c r="E34" s="1688"/>
      <c r="F34" s="1688"/>
      <c r="G34" s="1688"/>
      <c r="H34" s="1688"/>
      <c r="I34" s="1688"/>
      <c r="J34" s="91"/>
      <c r="K34" s="449"/>
      <c r="L34" s="1281"/>
      <c r="M34" s="91"/>
      <c r="O34" s="1290"/>
      <c r="P34" s="1291"/>
      <c r="Q34" s="1291"/>
      <c r="R34" s="1291"/>
      <c r="S34" s="1291"/>
      <c r="T34" s="1291"/>
      <c r="U34" s="1289"/>
      <c r="V34" s="1289"/>
      <c r="W34" s="1289"/>
    </row>
    <row r="35" spans="1:23" ht="26.25" customHeight="1">
      <c r="A35" s="455" t="s">
        <v>290</v>
      </c>
      <c r="B35" s="466" t="s">
        <v>276</v>
      </c>
      <c r="C35" s="1686" t="s">
        <v>1092</v>
      </c>
      <c r="D35" s="1686"/>
      <c r="E35" s="1686"/>
      <c r="F35" s="1686"/>
      <c r="G35" s="1686"/>
      <c r="H35" s="1686"/>
      <c r="I35" s="476" t="s">
        <v>42</v>
      </c>
      <c r="J35" s="463">
        <f>Calculations!R104</f>
        <v>1685378</v>
      </c>
      <c r="K35" s="449"/>
      <c r="L35" s="1281"/>
      <c r="M35" s="449"/>
      <c r="O35" s="1289"/>
      <c r="P35" s="1289"/>
      <c r="Q35" s="1289"/>
      <c r="R35" s="1289"/>
      <c r="S35" s="1289"/>
      <c r="T35" s="1289"/>
      <c r="U35" s="1289"/>
      <c r="V35" s="1289"/>
      <c r="W35" s="1289"/>
    </row>
    <row r="36" spans="1:23" ht="14.25" customHeight="1">
      <c r="A36" s="472"/>
      <c r="B36" s="466" t="s">
        <v>277</v>
      </c>
      <c r="C36" s="445" t="s">
        <v>1093</v>
      </c>
      <c r="D36" s="445"/>
      <c r="E36" s="445"/>
      <c r="F36" s="445"/>
      <c r="G36" s="445"/>
      <c r="H36" s="445"/>
      <c r="I36" s="476" t="s">
        <v>42</v>
      </c>
      <c r="J36" s="6"/>
      <c r="K36" s="449"/>
      <c r="L36" s="1281"/>
      <c r="M36" s="90"/>
      <c r="O36" s="207"/>
      <c r="P36" s="96"/>
      <c r="Q36" s="96"/>
      <c r="R36" s="96"/>
      <c r="S36" s="96"/>
      <c r="T36" s="96"/>
      <c r="U36" s="96"/>
      <c r="V36" s="443"/>
    </row>
    <row r="37" spans="1:23" ht="14.25" customHeight="1" thickBot="1">
      <c r="A37" s="472"/>
      <c r="B37" s="466" t="s">
        <v>286</v>
      </c>
      <c r="C37" s="474" t="s">
        <v>1094</v>
      </c>
      <c r="D37" s="445"/>
      <c r="E37" s="445"/>
      <c r="F37" s="445"/>
      <c r="G37" s="445"/>
      <c r="H37" s="445"/>
      <c r="I37" s="476"/>
      <c r="J37" s="454"/>
      <c r="K37" s="449"/>
      <c r="L37" s="1281"/>
      <c r="M37" s="477"/>
      <c r="N37" s="1684" t="str">
        <f>IF(AND(OR(J38&gt;0,M38&gt;0),T38&lt;&gt;"X"),_xlfn.CONCAT("Districts with amounts on this line should have a FY ",TwoYearsPrior," Request Letter on file with ADE. Use the check box in T38 after verifying that ADE has the letter."),"")</f>
        <v/>
      </c>
      <c r="O37" s="1684"/>
      <c r="P37" s="1684"/>
      <c r="Q37" s="1684"/>
      <c r="R37" s="1684"/>
      <c r="S37" s="1684"/>
    </row>
    <row r="38" spans="1:23" ht="12.75" customHeight="1" thickBot="1">
      <c r="A38" s="472"/>
      <c r="B38" s="445"/>
      <c r="C38" s="1171" t="s">
        <v>1335</v>
      </c>
      <c r="D38" s="478"/>
      <c r="E38" s="445"/>
      <c r="F38" s="445"/>
      <c r="G38" s="445"/>
      <c r="H38" s="445"/>
      <c r="I38" s="476"/>
      <c r="J38" s="91"/>
      <c r="K38" s="449"/>
      <c r="L38" s="1281"/>
      <c r="M38" s="91"/>
      <c r="N38" s="1684"/>
      <c r="O38" s="1684"/>
      <c r="P38" s="1684"/>
      <c r="Q38" s="1684"/>
      <c r="R38" s="1684"/>
      <c r="S38" s="1684"/>
      <c r="T38" s="58"/>
    </row>
    <row r="39" spans="1:23" ht="14.25" customHeight="1">
      <c r="A39" s="455" t="s">
        <v>290</v>
      </c>
      <c r="B39" s="466" t="s">
        <v>291</v>
      </c>
      <c r="C39" s="1687" t="s">
        <v>1095</v>
      </c>
      <c r="D39" s="1687"/>
      <c r="E39" s="1687"/>
      <c r="F39" s="1687"/>
      <c r="G39" s="1687"/>
      <c r="H39" s="1687"/>
      <c r="I39" s="1687"/>
      <c r="J39" s="91"/>
      <c r="K39" s="449"/>
      <c r="L39" s="1281"/>
      <c r="M39" s="91"/>
      <c r="O39" s="479"/>
      <c r="P39" s="96"/>
      <c r="Q39" s="96"/>
      <c r="R39" s="96"/>
      <c r="S39" s="1263"/>
      <c r="T39" s="1271"/>
    </row>
    <row r="40" spans="1:23" ht="13.5" customHeight="1">
      <c r="A40" s="451" t="s">
        <v>290</v>
      </c>
      <c r="B40" s="466" t="s">
        <v>292</v>
      </c>
      <c r="C40" s="1170" t="s">
        <v>1336</v>
      </c>
      <c r="D40" s="474"/>
      <c r="E40" s="474"/>
      <c r="F40" s="474"/>
      <c r="G40" s="474"/>
      <c r="H40" s="474"/>
      <c r="I40" s="480"/>
      <c r="K40" s="449"/>
      <c r="L40" s="1281"/>
      <c r="M40" s="449"/>
      <c r="N40" s="443"/>
      <c r="O40" s="207"/>
      <c r="P40" s="96"/>
      <c r="Q40" s="96"/>
      <c r="R40" s="96"/>
      <c r="S40" s="96"/>
      <c r="T40" s="96"/>
    </row>
    <row r="41" spans="1:23" ht="13.5" customHeight="1">
      <c r="A41" s="455"/>
      <c r="B41" s="478"/>
      <c r="C41" s="481" t="s">
        <v>1096</v>
      </c>
      <c r="D41" s="1278"/>
      <c r="E41" s="1278"/>
      <c r="F41" s="1278"/>
      <c r="G41" s="1278"/>
      <c r="H41" s="1278"/>
      <c r="I41" s="480"/>
      <c r="J41" s="1172">
        <f>Calculations!R100</f>
        <v>0</v>
      </c>
      <c r="K41" s="449"/>
      <c r="L41" s="1281"/>
      <c r="M41" s="449"/>
      <c r="O41" s="443"/>
      <c r="P41" s="304"/>
      <c r="Q41" s="96"/>
      <c r="R41" s="96"/>
      <c r="S41" s="96"/>
      <c r="T41" s="96"/>
    </row>
    <row r="42" spans="1:23" ht="12.75" customHeight="1">
      <c r="A42" s="482"/>
      <c r="B42" s="466" t="s">
        <v>293</v>
      </c>
      <c r="C42" s="481" t="s">
        <v>1097</v>
      </c>
      <c r="D42" s="1278"/>
      <c r="E42" s="1278"/>
      <c r="F42" s="1278"/>
      <c r="G42" s="1278"/>
      <c r="H42" s="1278"/>
      <c r="I42" s="480"/>
      <c r="J42" s="35"/>
      <c r="K42" s="483"/>
      <c r="L42" s="1281"/>
      <c r="M42" s="449"/>
      <c r="O42" s="475"/>
      <c r="P42" s="475"/>
      <c r="Q42" s="96"/>
      <c r="R42" s="96"/>
      <c r="S42" s="96"/>
      <c r="T42" s="96"/>
    </row>
    <row r="43" spans="1:23" ht="12.75" customHeight="1">
      <c r="A43" s="484" t="s">
        <v>290</v>
      </c>
      <c r="B43" s="466" t="s">
        <v>294</v>
      </c>
      <c r="C43" s="1692" t="s">
        <v>1098</v>
      </c>
      <c r="D43" s="1692"/>
      <c r="E43" s="1692"/>
      <c r="F43" s="1692"/>
      <c r="G43" s="1692"/>
      <c r="H43" s="1692"/>
      <c r="I43" s="1692"/>
      <c r="J43" s="43"/>
      <c r="K43" s="449"/>
      <c r="L43" s="1281"/>
      <c r="M43" s="449"/>
    </row>
    <row r="44" spans="1:23" ht="24" customHeight="1">
      <c r="A44" s="485" t="s">
        <v>295</v>
      </c>
      <c r="B44" s="1691" t="s">
        <v>296</v>
      </c>
      <c r="C44" s="1691"/>
      <c r="D44" s="1691"/>
      <c r="E44" s="1691"/>
      <c r="F44" s="1691"/>
      <c r="G44" s="1691"/>
      <c r="H44" s="1691"/>
      <c r="I44" s="1691"/>
      <c r="J44" s="486"/>
      <c r="K44" s="449"/>
      <c r="L44" s="1281"/>
      <c r="M44" s="449"/>
    </row>
    <row r="45" spans="1:23" ht="12.75" customHeight="1">
      <c r="A45" s="487"/>
      <c r="B45" s="1280" t="s">
        <v>275</v>
      </c>
      <c r="C45" s="1304" t="s">
        <v>950</v>
      </c>
      <c r="D45" s="1280"/>
      <c r="E45" s="1280"/>
      <c r="F45" s="1280"/>
      <c r="G45" s="1280"/>
      <c r="H45" s="1280"/>
      <c r="I45" s="488"/>
      <c r="J45" s="489"/>
      <c r="K45" s="449"/>
      <c r="L45" s="1281"/>
      <c r="M45" s="449"/>
    </row>
    <row r="46" spans="1:23" ht="12.75" customHeight="1">
      <c r="A46" s="487"/>
      <c r="B46" s="1280"/>
      <c r="C46" s="1683"/>
      <c r="D46" s="1683"/>
      <c r="E46" s="1683"/>
      <c r="F46" s="1683"/>
      <c r="G46" s="1683"/>
      <c r="H46" s="1280"/>
      <c r="I46" s="488"/>
      <c r="J46" s="46"/>
      <c r="K46" s="1281"/>
      <c r="L46" s="449"/>
    </row>
    <row r="47" spans="1:23" ht="12.75" customHeight="1">
      <c r="A47" s="487"/>
      <c r="B47" s="1280" t="s">
        <v>276</v>
      </c>
      <c r="C47" s="1304" t="s">
        <v>1099</v>
      </c>
      <c r="D47" s="1304"/>
      <c r="E47" s="1304"/>
      <c r="F47" s="1304"/>
      <c r="G47" s="1280"/>
      <c r="H47" s="1280"/>
      <c r="I47" s="488"/>
      <c r="J47" s="47"/>
      <c r="K47" s="449"/>
      <c r="L47" s="1281"/>
      <c r="M47" s="449"/>
    </row>
    <row r="48" spans="1:23" ht="12.75" customHeight="1">
      <c r="A48" s="487"/>
      <c r="B48" s="491" t="s">
        <v>277</v>
      </c>
      <c r="C48" s="1304" t="s">
        <v>1100</v>
      </c>
      <c r="D48" s="1304"/>
      <c r="E48" s="1304"/>
      <c r="F48" s="1304"/>
      <c r="G48" s="1304"/>
      <c r="H48" s="1280"/>
      <c r="I48" s="488"/>
      <c r="J48" s="47"/>
      <c r="K48" s="449"/>
      <c r="L48" s="1281"/>
      <c r="M48" s="449"/>
    </row>
    <row r="49" spans="1:23" ht="12" hidden="1">
      <c r="A49" s="487"/>
      <c r="B49" s="1280"/>
      <c r="C49" s="1304"/>
      <c r="D49" s="1304"/>
      <c r="E49" s="1280"/>
      <c r="F49" s="1280"/>
      <c r="G49" s="1280"/>
      <c r="H49" s="1280"/>
      <c r="I49" s="488"/>
      <c r="J49" s="57"/>
      <c r="K49" s="1281"/>
      <c r="L49" s="449"/>
    </row>
    <row r="50" spans="1:23" ht="12.75" customHeight="1">
      <c r="A50" s="487"/>
      <c r="B50" s="493" t="s">
        <v>286</v>
      </c>
      <c r="C50" s="1304" t="s">
        <v>1101</v>
      </c>
      <c r="D50" s="1304"/>
      <c r="E50" s="1304"/>
      <c r="F50" s="1304"/>
      <c r="G50" s="1280"/>
      <c r="H50" s="1280"/>
      <c r="I50" s="488"/>
      <c r="J50" s="56"/>
      <c r="K50" s="449"/>
      <c r="L50" s="1281"/>
      <c r="M50" s="449"/>
    </row>
    <row r="51" spans="1:23" ht="12.75" customHeight="1">
      <c r="A51" s="487"/>
      <c r="B51" s="1282" t="s">
        <v>291</v>
      </c>
      <c r="C51" s="1304" t="s">
        <v>1102</v>
      </c>
      <c r="D51" s="1280"/>
      <c r="E51" s="1304"/>
      <c r="F51" s="1304"/>
      <c r="G51" s="1280"/>
      <c r="H51" s="1280"/>
      <c r="I51" s="488"/>
      <c r="J51" s="47"/>
      <c r="K51" s="1281"/>
      <c r="L51" s="449"/>
    </row>
    <row r="52" spans="1:23" ht="12.75" customHeight="1">
      <c r="A52" s="487"/>
      <c r="B52" s="1282" t="s">
        <v>292</v>
      </c>
      <c r="C52" s="1304" t="s">
        <v>297</v>
      </c>
      <c r="D52" s="1690"/>
      <c r="E52" s="1690"/>
      <c r="F52" s="1690"/>
      <c r="G52" s="1690"/>
      <c r="H52" s="1304"/>
      <c r="I52" s="488"/>
      <c r="J52" s="47"/>
      <c r="K52" s="449"/>
      <c r="L52" s="1281"/>
      <c r="M52" s="449"/>
    </row>
    <row r="53" spans="1:23" ht="12.75" customHeight="1">
      <c r="A53" s="1536" t="s">
        <v>104</v>
      </c>
      <c r="B53" s="1537" t="s">
        <v>1405</v>
      </c>
      <c r="C53" s="1538"/>
      <c r="D53" s="1538"/>
      <c r="E53" s="1538"/>
      <c r="F53" s="1538"/>
      <c r="G53" s="1538"/>
      <c r="H53" s="1304"/>
      <c r="I53" s="488"/>
      <c r="J53" s="1539"/>
      <c r="K53" s="449"/>
      <c r="L53" s="1281"/>
      <c r="M53" s="449"/>
    </row>
    <row r="54" spans="1:23" ht="12.75" customHeight="1">
      <c r="A54" s="1536"/>
      <c r="B54" s="466" t="s">
        <v>275</v>
      </c>
      <c r="C54" s="1538" t="s">
        <v>1392</v>
      </c>
      <c r="D54" s="1538"/>
      <c r="E54" s="1538"/>
      <c r="F54" s="1538"/>
      <c r="G54" s="1304"/>
      <c r="H54" s="1304"/>
      <c r="I54" s="447"/>
      <c r="J54" s="6"/>
      <c r="K54" s="449"/>
      <c r="L54" s="447"/>
      <c r="M54" s="1540"/>
    </row>
    <row r="55" spans="1:23" ht="12.75" customHeight="1">
      <c r="A55" s="1536"/>
      <c r="B55" s="466" t="s">
        <v>276</v>
      </c>
      <c r="C55" s="1538" t="s">
        <v>1393</v>
      </c>
      <c r="D55" s="1538"/>
      <c r="E55" s="1538"/>
      <c r="F55" s="1538"/>
      <c r="G55" s="1304"/>
      <c r="H55" s="1304"/>
      <c r="I55" s="447"/>
      <c r="J55" s="6"/>
      <c r="K55" s="449"/>
      <c r="L55" s="447"/>
      <c r="M55" s="1540"/>
    </row>
    <row r="56" spans="1:23" ht="12.75" customHeight="1">
      <c r="A56" s="1536"/>
      <c r="B56" s="466" t="s">
        <v>277</v>
      </c>
      <c r="C56" s="1538" t="s">
        <v>1394</v>
      </c>
      <c r="D56" s="1541"/>
      <c r="E56" s="1541"/>
      <c r="F56" s="1541"/>
      <c r="G56" s="1304"/>
      <c r="H56" s="1304"/>
      <c r="I56" s="447"/>
      <c r="J56" s="6"/>
      <c r="K56" s="449"/>
      <c r="L56" s="447"/>
      <c r="M56" s="1540"/>
    </row>
    <row r="57" spans="1:23" ht="13.5" customHeight="1">
      <c r="A57" s="1542" t="s">
        <v>105</v>
      </c>
      <c r="B57" s="1170" t="s">
        <v>1397</v>
      </c>
      <c r="C57" s="473"/>
      <c r="D57" s="445"/>
      <c r="E57" s="445"/>
      <c r="F57" s="445"/>
      <c r="G57" s="445"/>
      <c r="H57" s="445"/>
      <c r="I57" s="449"/>
      <c r="K57" s="449"/>
      <c r="L57" s="1281" t="s">
        <v>42</v>
      </c>
      <c r="M57" s="449"/>
      <c r="O57" s="494"/>
      <c r="P57" s="1290"/>
      <c r="Q57" s="1290"/>
      <c r="R57" s="1290"/>
      <c r="S57" s="1290"/>
      <c r="T57" s="1290"/>
    </row>
    <row r="58" spans="1:23" ht="14.25" customHeight="1" thickBot="1">
      <c r="A58" s="1543"/>
      <c r="B58" s="1473" t="s">
        <v>945</v>
      </c>
      <c r="C58" s="1474"/>
      <c r="D58" s="445"/>
      <c r="E58" s="1281"/>
      <c r="F58" s="1281"/>
      <c r="G58" s="1281"/>
      <c r="H58" s="1281"/>
      <c r="I58" s="447" t="s">
        <v>273</v>
      </c>
      <c r="J58" s="1173">
        <f>SUM(J10:J43)+SUM(J46:J52)+SUM(J54:J56)</f>
        <v>7823677</v>
      </c>
      <c r="K58" s="449"/>
      <c r="L58" s="1281"/>
      <c r="M58" s="449"/>
      <c r="O58" s="96"/>
      <c r="P58" s="96"/>
      <c r="Q58" s="96"/>
      <c r="R58" s="495"/>
      <c r="S58" s="443"/>
      <c r="T58" s="443"/>
      <c r="U58" s="443"/>
      <c r="V58" s="443"/>
    </row>
    <row r="59" spans="1:23" ht="12.75" customHeight="1" thickTop="1">
      <c r="A59" s="1544" t="s">
        <v>106</v>
      </c>
      <c r="B59" s="444" t="s">
        <v>1398</v>
      </c>
      <c r="C59" s="1475"/>
      <c r="D59" s="443"/>
      <c r="E59" s="443"/>
      <c r="F59" s="443"/>
      <c r="G59" s="443"/>
      <c r="H59" s="443"/>
      <c r="J59" s="449"/>
      <c r="K59" s="449"/>
      <c r="L59" s="1281"/>
      <c r="O59" s="1291"/>
      <c r="P59" s="1291"/>
      <c r="Q59" s="1291"/>
      <c r="R59" s="1291"/>
      <c r="S59" s="1291"/>
      <c r="T59" s="1291"/>
      <c r="U59" s="1290"/>
      <c r="V59" s="496"/>
    </row>
    <row r="60" spans="1:23" ht="12.75" customHeight="1" thickBot="1">
      <c r="A60" s="497"/>
      <c r="B60" s="96" t="s">
        <v>298</v>
      </c>
      <c r="C60" s="443"/>
      <c r="D60" s="443"/>
      <c r="E60" s="443"/>
      <c r="F60" s="443"/>
      <c r="G60" s="443"/>
      <c r="H60" s="443"/>
      <c r="I60" s="447"/>
      <c r="J60" s="498"/>
      <c r="K60" s="449"/>
      <c r="L60" s="447" t="s">
        <v>273</v>
      </c>
      <c r="M60" s="1174">
        <f>SUM(M10:M39)+SUM(M54:M56)</f>
        <v>859172</v>
      </c>
      <c r="P60" s="96"/>
      <c r="Q60" s="1263"/>
      <c r="R60" s="1271"/>
      <c r="U60" s="443"/>
      <c r="V60" s="443"/>
    </row>
    <row r="61" spans="1:23" ht="13.5" customHeight="1" thickTop="1">
      <c r="A61" s="499"/>
      <c r="B61" s="456"/>
      <c r="C61" s="1281"/>
      <c r="D61" s="1281"/>
      <c r="E61" s="1281"/>
      <c r="F61" s="1281"/>
      <c r="G61" s="1281"/>
      <c r="H61" s="1281"/>
      <c r="I61" s="447"/>
      <c r="J61" s="1281"/>
      <c r="K61" s="449"/>
      <c r="L61" s="1281"/>
      <c r="M61" s="449"/>
      <c r="P61" s="295"/>
      <c r="Q61" s="500"/>
      <c r="R61" s="1271"/>
      <c r="U61" s="1623"/>
      <c r="V61" s="1689"/>
    </row>
    <row r="62" spans="1:23" ht="13.5" customHeight="1">
      <c r="A62" s="428" t="s">
        <v>290</v>
      </c>
      <c r="B62" s="501" t="s">
        <v>1103</v>
      </c>
      <c r="C62" s="96"/>
      <c r="D62" s="445"/>
      <c r="E62" s="445"/>
      <c r="F62" s="96"/>
      <c r="G62" s="445"/>
      <c r="H62" s="445"/>
      <c r="I62" s="445"/>
      <c r="J62" s="445"/>
      <c r="K62" s="445"/>
      <c r="L62" s="445"/>
      <c r="M62" s="295"/>
      <c r="P62" s="502"/>
      <c r="Q62" s="1263"/>
      <c r="R62" s="1271"/>
      <c r="U62" s="1623"/>
      <c r="V62" s="1623"/>
    </row>
    <row r="63" spans="1:23" ht="12" customHeight="1">
      <c r="A63" s="428"/>
      <c r="B63" s="456"/>
      <c r="C63" s="295"/>
      <c r="D63" s="1281"/>
      <c r="E63" s="1281"/>
      <c r="F63" s="1281"/>
      <c r="G63" s="1281"/>
      <c r="H63" s="1281"/>
      <c r="I63" s="1281"/>
      <c r="J63" s="1281"/>
      <c r="K63" s="1281"/>
      <c r="L63" s="1281"/>
      <c r="M63" s="295"/>
      <c r="P63" s="96"/>
      <c r="Q63" s="120"/>
      <c r="R63" s="1271"/>
      <c r="W63" s="1289"/>
    </row>
    <row r="64" spans="1:23" ht="12.75" customHeight="1">
      <c r="A64" s="503"/>
      <c r="B64" s="295"/>
      <c r="C64" s="1281"/>
      <c r="D64" s="1281"/>
      <c r="E64" s="1281"/>
      <c r="F64" s="1281"/>
      <c r="G64" s="1281"/>
      <c r="H64" s="1281"/>
      <c r="I64" s="1281"/>
      <c r="J64" s="1281"/>
      <c r="K64" s="1281"/>
      <c r="L64" s="1281"/>
      <c r="M64" s="295"/>
      <c r="P64" s="207"/>
      <c r="Q64" s="504"/>
      <c r="R64" s="505"/>
    </row>
    <row r="65" spans="1:22" ht="12.75" customHeight="1">
      <c r="A65" s="506"/>
      <c r="D65" s="507"/>
      <c r="E65" s="507"/>
      <c r="F65" s="507"/>
      <c r="G65" s="507"/>
      <c r="H65" s="507"/>
      <c r="I65" s="507"/>
      <c r="J65" s="507"/>
      <c r="K65" s="507"/>
      <c r="L65" s="507"/>
      <c r="M65" s="507"/>
      <c r="P65" s="96"/>
    </row>
    <row r="66" spans="1:22" ht="12.75" customHeight="1">
      <c r="A66" s="506"/>
      <c r="B66" s="507"/>
      <c r="C66" s="507"/>
      <c r="D66" s="507"/>
      <c r="E66" s="507"/>
      <c r="F66" s="507"/>
      <c r="G66" s="507"/>
      <c r="H66" s="507"/>
      <c r="I66" s="507"/>
      <c r="J66" s="507"/>
      <c r="K66" s="507"/>
      <c r="L66" s="507"/>
      <c r="M66" s="507"/>
      <c r="O66" s="96"/>
      <c r="P66" s="96"/>
      <c r="Q66" s="96"/>
      <c r="R66" s="96"/>
      <c r="T66" s="96"/>
    </row>
    <row r="67" spans="1:22" ht="12.75" customHeight="1">
      <c r="A67" s="501"/>
      <c r="B67" s="507"/>
      <c r="C67" s="507"/>
      <c r="D67" s="507"/>
      <c r="E67" s="507"/>
      <c r="F67" s="507"/>
      <c r="G67" s="507"/>
      <c r="H67" s="507"/>
      <c r="I67" s="507"/>
      <c r="J67" s="507"/>
      <c r="K67" s="507"/>
      <c r="L67" s="507"/>
      <c r="M67" s="507"/>
    </row>
    <row r="68" spans="1:22" ht="11.25" customHeight="1">
      <c r="A68" s="508"/>
      <c r="B68" s="507"/>
      <c r="C68" s="507"/>
      <c r="D68" s="507"/>
      <c r="E68" s="507"/>
      <c r="F68" s="507"/>
      <c r="G68" s="507"/>
      <c r="H68" s="507"/>
      <c r="I68" s="507"/>
      <c r="J68" s="507"/>
      <c r="K68" s="507"/>
      <c r="L68" s="507"/>
      <c r="M68" s="507"/>
    </row>
    <row r="69" spans="1:22" ht="12.75" customHeight="1">
      <c r="A69" s="509"/>
      <c r="B69" s="1277"/>
      <c r="C69" s="1277"/>
      <c r="D69" s="1277"/>
      <c r="E69" s="1277"/>
      <c r="F69" s="1277"/>
      <c r="G69" s="1277"/>
      <c r="H69" s="1277"/>
      <c r="I69" s="1277"/>
      <c r="J69" s="1277"/>
      <c r="K69" s="1277"/>
      <c r="L69" s="1277"/>
      <c r="M69" s="1277"/>
      <c r="U69" s="96"/>
      <c r="V69" s="443"/>
    </row>
    <row r="70" spans="1:22" ht="53.25" customHeight="1">
      <c r="A70" s="510"/>
      <c r="B70" s="1299"/>
      <c r="C70" s="1299"/>
      <c r="D70" s="1299"/>
      <c r="E70" s="1299"/>
      <c r="F70" s="1299"/>
      <c r="G70" s="1299"/>
      <c r="H70" s="1299"/>
      <c r="I70" s="1299"/>
      <c r="J70" s="1299"/>
      <c r="K70" s="1299"/>
      <c r="L70" s="1299"/>
      <c r="M70" s="1299"/>
    </row>
    <row r="71" spans="1:22" ht="10.5" customHeight="1">
      <c r="A71" s="511"/>
      <c r="B71" s="512"/>
      <c r="C71" s="512"/>
      <c r="D71" s="512"/>
      <c r="E71" s="512"/>
      <c r="F71" s="512"/>
      <c r="G71" s="512"/>
      <c r="H71" s="512"/>
      <c r="I71" s="512"/>
      <c r="J71" s="512"/>
      <c r="K71" s="512"/>
      <c r="L71" s="512"/>
      <c r="M71" s="512"/>
    </row>
    <row r="72" spans="1:22" ht="4.5" customHeight="1">
      <c r="A72" s="513"/>
      <c r="B72" s="1277"/>
      <c r="C72" s="1277"/>
      <c r="D72" s="1277"/>
      <c r="E72" s="1277"/>
      <c r="F72" s="1277"/>
      <c r="G72" s="1277"/>
      <c r="H72" s="1277"/>
      <c r="I72" s="1277"/>
      <c r="J72" s="1277"/>
      <c r="K72" s="1277"/>
      <c r="L72" s="1277"/>
      <c r="M72" s="1277"/>
    </row>
    <row r="73" spans="1:22" ht="24" customHeight="1">
      <c r="A73" s="514"/>
      <c r="B73" s="507"/>
      <c r="C73" s="507"/>
      <c r="D73" s="507"/>
      <c r="E73" s="507"/>
      <c r="F73" s="507"/>
      <c r="G73" s="507"/>
      <c r="H73" s="507"/>
      <c r="I73" s="507"/>
      <c r="J73" s="507"/>
      <c r="K73" s="507"/>
      <c r="L73" s="507"/>
      <c r="M73" s="507"/>
    </row>
    <row r="74" spans="1:22" ht="27.75" customHeight="1">
      <c r="A74" s="445"/>
      <c r="B74" s="445"/>
      <c r="C74" s="434"/>
      <c r="D74" s="434"/>
      <c r="E74" s="434"/>
      <c r="F74" s="434"/>
      <c r="G74" s="515"/>
      <c r="H74" s="96"/>
      <c r="I74" s="445"/>
      <c r="J74" s="445"/>
      <c r="K74" s="445"/>
      <c r="L74" s="445"/>
      <c r="M74" s="96"/>
    </row>
    <row r="75" spans="1:22" ht="25.5" customHeight="1">
      <c r="A75" s="514"/>
      <c r="B75" s="507"/>
      <c r="C75" s="507"/>
      <c r="D75" s="507"/>
      <c r="E75" s="507"/>
      <c r="F75" s="507"/>
      <c r="G75" s="507"/>
      <c r="H75" s="507"/>
      <c r="I75" s="507"/>
      <c r="J75" s="507"/>
      <c r="K75" s="507"/>
      <c r="L75" s="507"/>
      <c r="M75" s="507"/>
    </row>
    <row r="76" spans="1:22" ht="12.75" customHeight="1">
      <c r="A76" s="510"/>
      <c r="B76" s="1299"/>
      <c r="C76" s="1299"/>
      <c r="D76" s="1299"/>
      <c r="E76" s="1299"/>
      <c r="F76" s="1299"/>
      <c r="G76" s="1299"/>
      <c r="H76" s="1299"/>
      <c r="I76" s="1299"/>
      <c r="J76" s="1299"/>
      <c r="K76" s="1299"/>
      <c r="L76" s="1299"/>
      <c r="M76" s="1299"/>
    </row>
  </sheetData>
  <sheetProtection sheet="1" formatCells="0" formatColumns="0" formatRows="0"/>
  <mergeCells count="25">
    <mergeCell ref="D1:E1"/>
    <mergeCell ref="G1:I1"/>
    <mergeCell ref="I22:I23"/>
    <mergeCell ref="A3:M3"/>
    <mergeCell ref="B22:H23"/>
    <mergeCell ref="C15:F15"/>
    <mergeCell ref="C12:F12"/>
    <mergeCell ref="C14:F14"/>
    <mergeCell ref="C16:F16"/>
    <mergeCell ref="B6:D7"/>
    <mergeCell ref="U62:V62"/>
    <mergeCell ref="C39:I39"/>
    <mergeCell ref="C34:I34"/>
    <mergeCell ref="C35:H35"/>
    <mergeCell ref="U61:V61"/>
    <mergeCell ref="D52:G52"/>
    <mergeCell ref="B44:I44"/>
    <mergeCell ref="C43:I43"/>
    <mergeCell ref="N9:S10"/>
    <mergeCell ref="N15:S17"/>
    <mergeCell ref="B18:I18"/>
    <mergeCell ref="C46:G46"/>
    <mergeCell ref="N37:S38"/>
    <mergeCell ref="O22:U23"/>
    <mergeCell ref="B32:H32"/>
  </mergeCells>
  <conditionalFormatting sqref="M10">
    <cfRule type="containsText" dxfId="25" priority="5" stopIfTrue="1" operator="containsText" text="Error">
      <formula>NOT(ISERROR(SEARCH("Error",M10)))</formula>
    </cfRule>
  </conditionalFormatting>
  <conditionalFormatting sqref="M17">
    <cfRule type="containsText" dxfId="24" priority="4" stopIfTrue="1" operator="containsText" text="error">
      <formula>NOT(ISERROR(SEARCH("error",M17)))</formula>
    </cfRule>
  </conditionalFormatting>
  <conditionalFormatting sqref="M54:M56">
    <cfRule type="containsText" dxfId="23" priority="1" stopIfTrue="1" operator="containsText" text="Error">
      <formula>NOT(ISERROR(SEARCH("Error",M54)))</formula>
    </cfRule>
  </conditionalFormatting>
  <dataValidations xWindow="636" yWindow="692" count="8">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J54:J55"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 allowBlank="1" showErrorMessage="1" sqref="J53" xr:uid="{B7A0D13D-065C-4B6A-AD85-45EAD5813694}"/>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 ref="B55" location="Page7l10b" display="(b)" xr:uid="{44A2935D-090A-4074-B8A2-84A9C1AB5E07}"/>
    <hyperlink ref="B56" location="Page7l10c" display="(c)" xr:uid="{A525160D-972A-4FCD-B079-E8C855048789}"/>
    <hyperlink ref="B54" location="Page7l10a" display="(a)" xr:uid="{26343544-56CC-40F6-B9FD-EDB5802AF03F}"/>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customProperties>
    <customPr name="OrphanNamesChecke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K20" sqref="K20"/>
    </sheetView>
  </sheetViews>
  <sheetFormatPr defaultColWidth="8.81640625" defaultRowHeight="13.2"/>
  <cols>
    <col min="1" max="3" width="2" style="134" customWidth="1"/>
    <col min="4" max="4" width="8.81640625" style="134" customWidth="1"/>
    <col min="5" max="5" width="23.453125" style="134" customWidth="1"/>
    <col min="6" max="7" width="10.81640625" style="134" customWidth="1"/>
    <col min="8" max="8" width="12.453125" style="134" customWidth="1"/>
    <col min="9" max="9" width="1.81640625" style="134" customWidth="1"/>
    <col min="10" max="10" width="1" style="134" customWidth="1"/>
    <col min="11" max="11" width="11.81640625" style="134" customWidth="1"/>
    <col min="12" max="12" width="10.81640625" style="134" customWidth="1"/>
    <col min="13" max="28" width="8.81640625" style="134" customWidth="1"/>
    <col min="29" max="16384" width="8.81640625" style="134"/>
  </cols>
  <sheetData>
    <row r="1" spans="1:11">
      <c r="A1" s="1135" t="s">
        <v>299</v>
      </c>
      <c r="B1" s="1136"/>
      <c r="C1" s="1136"/>
      <c r="D1" s="1136"/>
      <c r="E1" s="516" t="str">
        <f>DistrictName</f>
        <v>Mary C O'Brien Accommodation District</v>
      </c>
      <c r="F1" s="1137" t="s">
        <v>1</v>
      </c>
      <c r="G1" s="516" t="str">
        <f>Cover!H1</f>
        <v>Pinal</v>
      </c>
      <c r="I1" s="1138"/>
      <c r="J1" s="1138" t="s">
        <v>57</v>
      </c>
      <c r="K1" s="517" t="str">
        <f>Cover!S1</f>
        <v>110100000</v>
      </c>
    </row>
    <row r="2" spans="1:11" ht="12.75" customHeight="1">
      <c r="A2" s="518"/>
      <c r="B2" s="1709" t="s">
        <v>682</v>
      </c>
      <c r="C2" s="1709"/>
      <c r="D2" s="1709"/>
      <c r="E2" s="138"/>
      <c r="F2" s="138"/>
      <c r="G2" s="138"/>
      <c r="H2" s="138"/>
      <c r="I2" s="138"/>
      <c r="J2" s="1262" t="s">
        <v>16</v>
      </c>
      <c r="K2" s="519" t="str">
        <f>Cover!C8</f>
        <v>Proposed</v>
      </c>
    </row>
    <row r="3" spans="1:11" ht="18" customHeight="1">
      <c r="A3" s="1710" t="s">
        <v>1323</v>
      </c>
      <c r="B3" s="1711"/>
      <c r="C3" s="1711"/>
      <c r="D3" s="1711"/>
      <c r="E3" s="1711"/>
      <c r="F3" s="1711"/>
      <c r="G3" s="1711"/>
      <c r="H3" s="1711"/>
      <c r="I3" s="1711"/>
      <c r="J3" s="1711"/>
      <c r="K3" s="1711"/>
    </row>
    <row r="4" spans="1:11" ht="13.5" customHeight="1">
      <c r="A4" s="1711"/>
      <c r="B4" s="1711"/>
      <c r="C4" s="1711"/>
      <c r="D4" s="1711"/>
      <c r="E4" s="1711"/>
      <c r="F4" s="1711"/>
      <c r="G4" s="1711"/>
      <c r="H4" s="1711"/>
      <c r="I4" s="1711"/>
      <c r="J4" s="1711"/>
      <c r="K4" s="1711"/>
    </row>
    <row r="5" spans="1:11" ht="5.25" customHeight="1">
      <c r="A5" s="520"/>
      <c r="B5" s="521"/>
      <c r="C5" s="521"/>
      <c r="D5" s="521"/>
      <c r="E5" s="138"/>
      <c r="F5" s="138"/>
      <c r="G5" s="138"/>
      <c r="H5" s="138"/>
      <c r="I5" s="138"/>
      <c r="J5" s="138"/>
      <c r="K5" s="138"/>
    </row>
    <row r="6" spans="1:11" ht="30.75" customHeight="1">
      <c r="A6" s="1465" t="s">
        <v>300</v>
      </c>
      <c r="B6" s="522"/>
      <c r="C6" s="522"/>
      <c r="D6" s="523"/>
      <c r="E6" s="524"/>
      <c r="F6" s="524"/>
      <c r="G6" s="524"/>
      <c r="H6" s="524"/>
      <c r="I6" s="524"/>
      <c r="J6" s="524"/>
      <c r="K6" s="525"/>
    </row>
    <row r="7" spans="1:11" ht="12" customHeight="1">
      <c r="A7" s="526"/>
      <c r="B7" s="527" t="s">
        <v>6</v>
      </c>
      <c r="C7" s="528" t="s">
        <v>1324</v>
      </c>
      <c r="E7" s="209"/>
      <c r="F7" s="209"/>
      <c r="G7" s="209"/>
      <c r="H7" s="209"/>
      <c r="I7" s="524"/>
      <c r="J7" s="524"/>
    </row>
    <row r="8" spans="1:11" ht="12.75" customHeight="1">
      <c r="C8" s="1712" t="s">
        <v>1325</v>
      </c>
      <c r="D8" s="1712"/>
      <c r="E8" s="1712"/>
      <c r="F8" s="1712"/>
      <c r="G8" s="1712"/>
      <c r="H8" s="1712"/>
      <c r="J8" s="1297" t="s">
        <v>273</v>
      </c>
      <c r="K8" s="532">
        <f>[1]!UCBLBudgFY</f>
        <v>1754195</v>
      </c>
    </row>
    <row r="9" spans="1:11" ht="14.25" customHeight="1">
      <c r="B9" s="529" t="s">
        <v>8</v>
      </c>
      <c r="C9" s="528" t="s">
        <v>1104</v>
      </c>
      <c r="J9" s="1297"/>
      <c r="K9" s="531"/>
    </row>
    <row r="10" spans="1:11" ht="12.75" customHeight="1">
      <c r="C10" s="1712" t="s">
        <v>301</v>
      </c>
      <c r="D10" s="1712"/>
      <c r="E10" s="1712"/>
      <c r="F10" s="1712"/>
      <c r="G10" s="1712"/>
      <c r="H10" s="1712"/>
      <c r="J10" s="1297" t="s">
        <v>273</v>
      </c>
      <c r="K10" s="23"/>
    </row>
    <row r="11" spans="1:11" ht="14.25" customHeight="1">
      <c r="B11" s="529" t="s">
        <v>22</v>
      </c>
      <c r="C11" s="1712" t="s">
        <v>1326</v>
      </c>
      <c r="D11" s="1713"/>
      <c r="E11" s="1713"/>
      <c r="F11" s="1713"/>
      <c r="G11" s="1713"/>
      <c r="H11" s="1713"/>
      <c r="J11" s="1297" t="s">
        <v>273</v>
      </c>
      <c r="K11" s="533">
        <f>K8+K10</f>
        <v>1754195</v>
      </c>
    </row>
    <row r="12" spans="1:11" ht="14.25" customHeight="1">
      <c r="B12" s="527" t="s">
        <v>40</v>
      </c>
      <c r="C12" s="1702" t="s">
        <v>1365</v>
      </c>
      <c r="D12" s="1702"/>
      <c r="E12" s="1702"/>
      <c r="F12" s="1702"/>
      <c r="G12" s="1702"/>
      <c r="H12" s="1702"/>
      <c r="J12" s="1297"/>
      <c r="K12" s="1286"/>
    </row>
    <row r="13" spans="1:11" ht="14.25" customHeight="1">
      <c r="B13" s="527"/>
      <c r="C13" s="1702" t="s">
        <v>1364</v>
      </c>
      <c r="D13" s="1702"/>
      <c r="E13" s="1702"/>
      <c r="F13" s="1702"/>
      <c r="G13" s="1702"/>
      <c r="H13" s="1702"/>
      <c r="J13" s="1297" t="s">
        <v>273</v>
      </c>
      <c r="K13" s="1286">
        <f>'[1]Page 4'!$L$21</f>
        <v>1754195</v>
      </c>
    </row>
    <row r="14" spans="1:11" ht="14.25" customHeight="1">
      <c r="B14" s="527" t="s">
        <v>98</v>
      </c>
      <c r="C14" s="1714" t="s">
        <v>302</v>
      </c>
      <c r="D14" s="1714"/>
      <c r="E14" s="1714"/>
      <c r="F14" s="1714"/>
      <c r="G14" s="1714"/>
      <c r="H14" s="1714"/>
      <c r="J14" s="1297" t="s">
        <v>273</v>
      </c>
      <c r="K14" s="534">
        <f>IF(K10&gt;0,MIN(K13+K10,K11),MIN(K11,K13))</f>
        <v>1754195</v>
      </c>
    </row>
    <row r="15" spans="1:11" ht="14.25" customHeight="1">
      <c r="B15" s="535" t="s">
        <v>99</v>
      </c>
      <c r="C15" s="1715" t="s">
        <v>1327</v>
      </c>
      <c r="D15" s="1715"/>
      <c r="E15" s="1715"/>
      <c r="F15" s="1715"/>
      <c r="G15" s="1715"/>
      <c r="H15" s="1715"/>
      <c r="J15" s="1297"/>
      <c r="K15" s="1286"/>
    </row>
    <row r="16" spans="1:11" ht="14.25" customHeight="1">
      <c r="B16" s="527"/>
      <c r="C16" s="1716" t="s">
        <v>303</v>
      </c>
      <c r="D16" s="1716"/>
      <c r="E16" s="1716"/>
      <c r="F16" s="1716"/>
      <c r="G16" s="1716"/>
      <c r="H16" s="1716"/>
      <c r="J16" s="1297" t="s">
        <v>273</v>
      </c>
      <c r="K16" s="92">
        <v>816169</v>
      </c>
    </row>
    <row r="17" spans="1:22" ht="14.25" customHeight="1">
      <c r="B17" s="527" t="s">
        <v>100</v>
      </c>
      <c r="C17" s="1716" t="s">
        <v>1008</v>
      </c>
      <c r="D17" s="1716"/>
      <c r="E17" s="1716"/>
      <c r="F17" s="1716"/>
      <c r="G17" s="1716"/>
      <c r="H17" s="1716"/>
    </row>
    <row r="18" spans="1:22" ht="14.25" customHeight="1">
      <c r="B18" s="527"/>
      <c r="C18" s="1285" t="s">
        <v>304</v>
      </c>
      <c r="D18" s="530"/>
      <c r="E18" s="536"/>
      <c r="F18" s="536"/>
      <c r="G18" s="1438" t="str">
        <f>IF((K14-K16)&lt;0,K14-K16,"")</f>
        <v/>
      </c>
      <c r="H18" s="111" t="str">
        <f>IF(G18&lt;0,"OVEREXPENDED"," ")</f>
        <v xml:space="preserve"> </v>
      </c>
      <c r="J18" s="1297" t="s">
        <v>273</v>
      </c>
      <c r="K18" s="532">
        <f>IF(K14-K16&gt;0,K14-K16,0)</f>
        <v>938026</v>
      </c>
    </row>
    <row r="19" spans="1:22" ht="14.25" customHeight="1">
      <c r="A19" s="537"/>
      <c r="B19" s="535" t="s">
        <v>102</v>
      </c>
      <c r="C19" s="1284" t="s">
        <v>1328</v>
      </c>
      <c r="D19" s="528"/>
      <c r="E19" s="138"/>
      <c r="F19" s="536"/>
      <c r="G19" s="536"/>
      <c r="H19" s="536"/>
      <c r="I19" s="536"/>
      <c r="J19" s="1297" t="s">
        <v>273</v>
      </c>
      <c r="K19" s="23">
        <v>27155</v>
      </c>
    </row>
    <row r="20" spans="1:22" ht="13.5" customHeight="1">
      <c r="A20" s="538"/>
      <c r="B20" s="535" t="s">
        <v>103</v>
      </c>
      <c r="C20" s="246" t="s">
        <v>305</v>
      </c>
      <c r="D20" s="528"/>
      <c r="E20" s="539"/>
      <c r="F20" s="539"/>
      <c r="G20" s="539"/>
      <c r="H20" s="539"/>
      <c r="J20" s="1297" t="s">
        <v>273</v>
      </c>
      <c r="K20" s="23"/>
    </row>
    <row r="21" spans="1:22" ht="4.5" customHeight="1">
      <c r="D21" s="528"/>
      <c r="E21" s="528"/>
      <c r="F21" s="528"/>
      <c r="G21" s="528"/>
      <c r="H21" s="528"/>
    </row>
    <row r="22" spans="1:22" ht="27.75" customHeight="1">
      <c r="B22" s="535" t="s">
        <v>104</v>
      </c>
      <c r="C22" s="1718" t="s">
        <v>1329</v>
      </c>
      <c r="D22" s="1718"/>
      <c r="E22" s="1718"/>
      <c r="F22" s="1718"/>
      <c r="G22" s="1718"/>
      <c r="H22" s="1718"/>
      <c r="J22" s="1297"/>
      <c r="K22" s="1717"/>
      <c r="N22" s="475"/>
      <c r="O22" s="443"/>
      <c r="P22" s="443"/>
      <c r="Q22" s="443"/>
      <c r="R22" s="443"/>
      <c r="S22" s="443"/>
      <c r="T22" s="443"/>
      <c r="U22" s="443"/>
      <c r="V22" s="443"/>
    </row>
    <row r="23" spans="1:22" ht="13.5" customHeight="1">
      <c r="B23" s="540"/>
      <c r="C23" s="231" t="s">
        <v>275</v>
      </c>
      <c r="D23" s="1287" t="s">
        <v>950</v>
      </c>
      <c r="E23" s="1287"/>
      <c r="F23" s="1287"/>
      <c r="G23" s="1287"/>
      <c r="H23" s="1287"/>
      <c r="J23" s="1297"/>
      <c r="K23" s="1717"/>
      <c r="N23" s="475"/>
      <c r="O23" s="443"/>
      <c r="P23" s="443"/>
      <c r="Q23" s="443"/>
      <c r="R23" s="443"/>
      <c r="S23" s="443"/>
      <c r="T23" s="443"/>
      <c r="U23" s="443"/>
      <c r="V23" s="443"/>
    </row>
    <row r="24" spans="1:22" ht="13.5" customHeight="1">
      <c r="B24" s="540"/>
      <c r="C24" s="540"/>
      <c r="D24" s="1703"/>
      <c r="E24" s="1703"/>
      <c r="F24" s="1703"/>
      <c r="G24" s="1703"/>
      <c r="H24" s="1287"/>
      <c r="J24" s="1297" t="s">
        <v>273</v>
      </c>
      <c r="K24" s="92"/>
      <c r="L24" s="1708"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708"/>
      <c r="N24" s="1708"/>
      <c r="O24" s="1708"/>
      <c r="P24" s="1708"/>
      <c r="Q24" s="443"/>
      <c r="R24" s="443"/>
      <c r="S24" s="443"/>
      <c r="T24" s="443"/>
      <c r="U24" s="443"/>
      <c r="V24" s="443"/>
    </row>
    <row r="25" spans="1:22" ht="13.5" customHeight="1">
      <c r="B25" s="540"/>
      <c r="C25" s="541" t="s">
        <v>276</v>
      </c>
      <c r="D25" s="1287" t="s">
        <v>1102</v>
      </c>
      <c r="E25" s="1287"/>
      <c r="F25" s="1287"/>
      <c r="G25" s="1287"/>
      <c r="H25" s="1287"/>
      <c r="J25" s="1297" t="s">
        <v>273</v>
      </c>
      <c r="K25" s="23"/>
      <c r="L25" s="1708"/>
      <c r="M25" s="1708"/>
      <c r="N25" s="1708"/>
      <c r="O25" s="1708"/>
      <c r="P25" s="1708"/>
      <c r="Q25" s="443"/>
      <c r="R25" s="443"/>
      <c r="S25" s="443"/>
      <c r="T25" s="443"/>
      <c r="U25" s="443"/>
      <c r="V25" s="443"/>
    </row>
    <row r="26" spans="1:22" ht="13.5" customHeight="1">
      <c r="B26" s="540"/>
      <c r="C26" s="542" t="s">
        <v>277</v>
      </c>
      <c r="D26" s="1287" t="s">
        <v>297</v>
      </c>
      <c r="E26" s="1703"/>
      <c r="F26" s="1703"/>
      <c r="G26" s="1703"/>
      <c r="H26" s="1287"/>
      <c r="J26" s="1297" t="s">
        <v>273</v>
      </c>
      <c r="K26" s="48"/>
      <c r="L26" s="1708"/>
      <c r="M26" s="1708"/>
      <c r="N26" s="1708"/>
      <c r="O26" s="1708"/>
      <c r="P26" s="1708"/>
      <c r="Q26" s="443"/>
      <c r="R26" s="443"/>
      <c r="S26" s="443"/>
      <c r="T26" s="443"/>
      <c r="U26" s="443"/>
      <c r="V26" s="443"/>
    </row>
    <row r="27" spans="1:22" ht="3.75" customHeight="1">
      <c r="B27" s="543"/>
      <c r="C27" s="543"/>
      <c r="D27" s="528"/>
      <c r="J27" s="1297"/>
      <c r="K27" s="544"/>
      <c r="N27" s="1290"/>
      <c r="O27" s="1291"/>
      <c r="P27" s="1291"/>
      <c r="Q27" s="1291"/>
      <c r="R27" s="1291"/>
      <c r="S27" s="1291"/>
      <c r="T27" s="1291"/>
      <c r="U27" s="1291"/>
      <c r="V27" s="1291"/>
    </row>
    <row r="28" spans="1:22" ht="13.5" customHeight="1">
      <c r="A28" s="545"/>
      <c r="B28" s="546" t="s">
        <v>105</v>
      </c>
      <c r="C28" s="1176" t="s">
        <v>1399</v>
      </c>
      <c r="D28" s="528"/>
      <c r="E28" s="138"/>
      <c r="F28" s="138"/>
      <c r="G28" s="138"/>
      <c r="H28" s="138"/>
      <c r="I28" s="138"/>
      <c r="J28" s="1297" t="s">
        <v>273</v>
      </c>
      <c r="K28" s="532">
        <f>TotAmtCapExped</f>
        <v>859172</v>
      </c>
      <c r="N28" s="1291"/>
      <c r="O28" s="1291"/>
      <c r="P28" s="1291"/>
      <c r="Q28" s="1291"/>
      <c r="R28" s="1291"/>
      <c r="S28" s="1291"/>
      <c r="T28" s="1291"/>
      <c r="U28" s="1291"/>
      <c r="V28" s="1291"/>
    </row>
    <row r="29" spans="1:22" ht="6" customHeight="1">
      <c r="A29" s="545"/>
      <c r="B29" s="543"/>
      <c r="C29" s="543"/>
      <c r="D29" s="528"/>
      <c r="E29" s="138"/>
      <c r="F29" s="138"/>
      <c r="G29" s="138"/>
      <c r="H29" s="138"/>
      <c r="I29" s="138"/>
      <c r="J29" s="1297"/>
      <c r="K29" s="531"/>
      <c r="N29" s="1291"/>
      <c r="O29" s="1291"/>
      <c r="P29" s="1291"/>
      <c r="Q29" s="1291"/>
      <c r="R29" s="1291"/>
      <c r="S29" s="1291"/>
      <c r="T29" s="1291"/>
      <c r="U29" s="1291"/>
      <c r="V29" s="1291"/>
    </row>
    <row r="30" spans="1:22" ht="13.5" customHeight="1" thickBot="1">
      <c r="A30" s="1297"/>
      <c r="B30" s="546" t="s">
        <v>106</v>
      </c>
      <c r="C30" s="1177" t="s">
        <v>1330</v>
      </c>
      <c r="D30" s="528"/>
      <c r="E30" s="539"/>
      <c r="F30" s="539"/>
      <c r="G30" s="1178"/>
      <c r="H30" s="539"/>
      <c r="J30" s="1297" t="s">
        <v>273</v>
      </c>
      <c r="K30" s="547">
        <f>SUM(K18:K28)</f>
        <v>1824353</v>
      </c>
      <c r="L30" s="1489"/>
      <c r="N30" s="120"/>
      <c r="O30" s="96"/>
      <c r="P30" s="96"/>
      <c r="Q30" s="96"/>
      <c r="R30" s="96"/>
      <c r="S30" s="96"/>
      <c r="T30" s="96"/>
      <c r="U30" s="96"/>
      <c r="V30" s="295"/>
    </row>
    <row r="31" spans="1:22" ht="8.25" customHeight="1" thickTop="1">
      <c r="A31" s="1297"/>
      <c r="D31" s="528"/>
      <c r="J31" s="1297"/>
      <c r="K31" s="544"/>
      <c r="N31" s="96"/>
      <c r="O31" s="96"/>
      <c r="P31" s="96"/>
      <c r="Q31" s="96"/>
      <c r="R31" s="96"/>
      <c r="S31" s="96"/>
      <c r="T31" s="1616"/>
      <c r="U31" s="1560"/>
      <c r="V31" s="295"/>
    </row>
    <row r="32" spans="1:22" ht="3" customHeight="1">
      <c r="A32" s="1297"/>
      <c r="B32" s="543"/>
      <c r="C32" s="543"/>
      <c r="D32" s="528"/>
      <c r="E32" s="536"/>
      <c r="F32" s="536"/>
      <c r="G32" s="536"/>
      <c r="H32" s="536"/>
      <c r="J32" s="1297"/>
      <c r="K32" s="544"/>
      <c r="N32" s="96"/>
      <c r="O32" s="96"/>
      <c r="P32" s="96"/>
      <c r="Q32" s="96"/>
      <c r="R32" s="96"/>
      <c r="S32" s="96"/>
      <c r="T32" s="1616"/>
      <c r="U32" s="1560"/>
      <c r="V32" s="295"/>
    </row>
    <row r="33" spans="1:22" ht="15" customHeight="1">
      <c r="A33" s="548" t="s">
        <v>261</v>
      </c>
      <c r="B33" s="549" t="s">
        <v>946</v>
      </c>
      <c r="C33" s="550"/>
      <c r="D33" s="528"/>
      <c r="E33" s="536"/>
      <c r="F33" s="536"/>
      <c r="G33" s="536"/>
      <c r="H33" s="536"/>
      <c r="I33" s="138"/>
      <c r="J33" s="1297"/>
      <c r="K33" s="544"/>
      <c r="N33" s="96"/>
      <c r="O33" s="96"/>
      <c r="P33" s="96"/>
      <c r="Q33" s="96"/>
      <c r="R33" s="96"/>
      <c r="S33" s="96"/>
      <c r="T33" s="1616"/>
      <c r="U33" s="1560"/>
      <c r="V33" s="295"/>
    </row>
    <row r="34" spans="1:22" ht="16.5" customHeight="1">
      <c r="A34" s="551"/>
      <c r="B34" s="552"/>
      <c r="C34" s="550"/>
      <c r="D34" s="528"/>
      <c r="E34" s="536"/>
      <c r="F34" s="536"/>
      <c r="G34" s="536"/>
      <c r="H34" s="536"/>
      <c r="I34" s="138"/>
      <c r="J34" s="1297"/>
      <c r="N34" s="96"/>
      <c r="O34" s="96"/>
      <c r="P34" s="96"/>
      <c r="Q34" s="96"/>
      <c r="R34" s="96"/>
      <c r="S34" s="96"/>
      <c r="T34" s="1616"/>
      <c r="U34" s="1560"/>
      <c r="V34" s="295"/>
    </row>
    <row r="36" spans="1:22">
      <c r="A36" s="138"/>
      <c r="B36" s="138"/>
      <c r="C36" s="138"/>
    </row>
    <row r="37" spans="1:22" ht="15">
      <c r="A37" s="553"/>
      <c r="B37" s="1706"/>
      <c r="C37" s="1706"/>
      <c r="D37" s="1705"/>
      <c r="E37" s="1705"/>
    </row>
    <row r="38" spans="1:22" ht="15">
      <c r="A38" s="554"/>
      <c r="B38" s="1704"/>
      <c r="C38" s="1704"/>
      <c r="D38" s="1705"/>
      <c r="E38" s="1705"/>
    </row>
    <row r="39" spans="1:22" ht="15">
      <c r="A39" s="554"/>
      <c r="B39" s="1704"/>
      <c r="C39" s="1704"/>
      <c r="D39" s="1705"/>
      <c r="E39" s="1705"/>
    </row>
    <row r="40" spans="1:22" ht="15">
      <c r="A40" s="554"/>
      <c r="B40" s="555"/>
      <c r="C40" s="555"/>
      <c r="D40" s="556"/>
      <c r="E40" s="556"/>
    </row>
    <row r="41" spans="1:22" ht="15">
      <c r="A41" s="554"/>
      <c r="B41" s="1706"/>
      <c r="C41" s="1706"/>
      <c r="D41" s="1705"/>
      <c r="E41" s="1705"/>
    </row>
    <row r="42" spans="1:22" ht="15">
      <c r="A42" s="554"/>
      <c r="B42" s="1706"/>
      <c r="C42" s="1706"/>
      <c r="D42" s="1705"/>
      <c r="E42" s="1705"/>
    </row>
    <row r="43" spans="1:22" ht="12.75" customHeight="1">
      <c r="A43" s="553"/>
    </row>
    <row r="44" spans="1:22" ht="15">
      <c r="A44" s="554"/>
      <c r="B44" s="1706"/>
      <c r="C44" s="1706"/>
      <c r="D44" s="1705"/>
      <c r="E44" s="1705"/>
    </row>
    <row r="45" spans="1:22" ht="15">
      <c r="A45" s="554"/>
      <c r="E45" s="1288"/>
      <c r="F45" s="1286"/>
      <c r="G45" s="1286"/>
      <c r="H45" s="1286"/>
      <c r="I45"/>
      <c r="J45" s="1286"/>
      <c r="K45" s="538"/>
      <c r="L45" s="1286"/>
    </row>
    <row r="46" spans="1:22" ht="15">
      <c r="A46" s="554"/>
      <c r="B46" s="1706"/>
      <c r="C46" s="1706"/>
      <c r="D46" s="1707"/>
      <c r="E46" s="1707"/>
      <c r="F46" s="1707"/>
      <c r="G46" s="1707"/>
      <c r="H46" s="1707"/>
      <c r="I46" s="1707"/>
      <c r="J46" s="1707"/>
      <c r="K46" s="1707"/>
      <c r="L46" s="1707"/>
    </row>
    <row r="47" spans="1:22" ht="13.8">
      <c r="A47" s="557"/>
      <c r="B47" s="138"/>
      <c r="C47" s="138"/>
    </row>
    <row r="108" spans="1:12">
      <c r="A108" s="1293"/>
      <c r="L108" s="1293"/>
    </row>
  </sheetData>
  <sheetProtection sheet="1" formatCells="0" formatColumns="0" formatRows="0"/>
  <mergeCells count="25">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 ref="C12:H12"/>
    <mergeCell ref="C13:H13"/>
    <mergeCell ref="E26:G26"/>
    <mergeCell ref="B39:E39"/>
    <mergeCell ref="B46:L46"/>
    <mergeCell ref="B42:E42"/>
    <mergeCell ref="B44:E44"/>
    <mergeCell ref="B41:E41"/>
    <mergeCell ref="L24:P26"/>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customProperties>
    <customPr name="OrphanNamesChecked" r:id="rId2"/>
  </customPropertie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http://purl.org/dc/elements/1.1/"/>
    <ds:schemaRef ds:uri="30e8ffde-18ad-4221-a68d-976eb256fe4f"/>
    <ds:schemaRef ds:uri="http://schemas.microsoft.com/office/2006/documentManagement/types"/>
    <ds:schemaRef ds:uri="http://purl.org/dc/terms/"/>
    <ds:schemaRef ds:uri="http://purl.org/dc/dcmitype/"/>
    <ds:schemaRef ds:uri="ffcdc2e4-c8f2-4bf7-ab1d-ea300bde3fd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1048</vt:i4>
      </vt:variant>
    </vt:vector>
  </HeadingPairs>
  <TitlesOfParts>
    <vt:vector size="1066"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FundBalA2c</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Page7l10a</vt:lpstr>
      <vt:lpstr>Page7l10b</vt:lpstr>
      <vt:lpstr>Page7l10c</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Tonya Taylor</cp:lastModifiedBy>
  <cp:lastPrinted>2026-06-26T16:54:09Z</cp:lastPrinted>
  <dcterms:created xsi:type="dcterms:W3CDTF">1998-03-23T03:01:19Z</dcterms:created>
  <dcterms:modified xsi:type="dcterms:W3CDTF">2026-06-29T16:26:40Z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853E198D-8A72-4FDF-A289-2719BA5E3C5F</vt:lpwstr>
  </property>
  <property fmtid="{D5CDD505-2E9C-101B-9397-08002B2CF9AE}" pid="7" name="ContentTypeId">
    <vt:lpwstr>0x010100740A7E3807644E4DA70E0D6B717B683A</vt:lpwstr>
  </property>
  <property fmtid="{D5CDD505-2E9C-101B-9397-08002B2CF9AE}" pid="8" name="MediaServiceImageTags">
    <vt:lpwstr/>
  </property>
</Properties>
</file>