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ile1.pinaldps.org\Profiles$\ttaylor\Desktop\S Drive\Tonya's Folder\sdforms\"/>
    </mc:Choice>
  </mc:AlternateContent>
  <workbookProtection workbookAlgorithmName="SHA-512" workbookHashValue="J6uZd1vNfUr5+p0/4BqdLYEMm/2f2LmT9SozvA8T/OZuF+SfHZ97vHSExThFiIn2oeS7RZfATSsUY0aN6WifxQ==" workbookSaltValue="GepruQPLFNaKvSSGMqPMbw==" workbookSpinCount="100000" lockStructure="1"/>
  <bookViews>
    <workbookView xWindow="-120" yWindow="-120" windowWidth="29040" windowHeight="15720"/>
  </bookViews>
  <sheets>
    <sheet name="Notice" sheetId="2" r:id="rId1"/>
  </sheets>
  <externalReferences>
    <externalReference r:id="rId2"/>
    <externalReference r:id="rId3"/>
  </externalReferences>
  <definedNames>
    <definedName name="BudgetYearADM">Notice!$H$13</definedName>
    <definedName name="CSFBLBudgFY">#REF!</definedName>
    <definedName name="EstTaxRateBudgFY">#REF!</definedName>
    <definedName name="F001P100F1000O6100">#REF!</definedName>
    <definedName name="F001P100F1000O6200">#REF!</definedName>
    <definedName name="F001P100F1000O630064006500">#REF!</definedName>
    <definedName name="F001P100F1000O6600">#REF!</definedName>
    <definedName name="F001P100F1000O6800">#REF!</definedName>
    <definedName name="F001P100F2100O6100">#REF!</definedName>
    <definedName name="F001P100F2100O6200">#REF!</definedName>
    <definedName name="F001P100F2100O630064006500">#REF!</definedName>
    <definedName name="F001P100F2100O6600">#REF!</definedName>
    <definedName name="F001P100F2100O6800">#REF!</definedName>
    <definedName name="F001P100F2200O6100">#REF!</definedName>
    <definedName name="F001P100F2200O6200">#REF!</definedName>
    <definedName name="F001P100F2200O630064006500">#REF!</definedName>
    <definedName name="F001P100F2200O6600">#REF!</definedName>
    <definedName name="F001P100F2200O6800">#REF!</definedName>
    <definedName name="F001P100F2300O6100">#REF!</definedName>
    <definedName name="F001P100F2300O6200">#REF!</definedName>
    <definedName name="F001P100F2300O630064006500">#REF!</definedName>
    <definedName name="F001P100F2300O6600">#REF!</definedName>
    <definedName name="F001P100F2300O6800">#REF!</definedName>
    <definedName name="F001P100F2400O6100">#REF!</definedName>
    <definedName name="F001P100F2400O6200">#REF!</definedName>
    <definedName name="F001P100F2400O630064006500">#REF!</definedName>
    <definedName name="F001P100F2400O6600">#REF!</definedName>
    <definedName name="F001P100F2400O6800">#REF!</definedName>
    <definedName name="F001P100F2500O6100">#REF!</definedName>
    <definedName name="F001P100F2500O6200">#REF!</definedName>
    <definedName name="F001P100F2500O630064006500">#REF!</definedName>
    <definedName name="F001P100F2500O6600">#REF!</definedName>
    <definedName name="F001P100F2500O6800">#REF!</definedName>
    <definedName name="F001P100F2600O6100">#REF!</definedName>
    <definedName name="F001P100F2600O6200">#REF!</definedName>
    <definedName name="F001P100F2600O630064006500">#REF!</definedName>
    <definedName name="F001P100F2600O6600">#REF!</definedName>
    <definedName name="F001P100F2600O6800">#REF!</definedName>
    <definedName name="F001P100F2900O6100">#REF!</definedName>
    <definedName name="F001P100F2900O6200">#REF!</definedName>
    <definedName name="F001P100F2900O630064006500">#REF!</definedName>
    <definedName name="F001P100F2900O6600">#REF!</definedName>
    <definedName name="F001P100F2900O6800">#REF!</definedName>
    <definedName name="F001P100F3000O6100">#REF!</definedName>
    <definedName name="F001P100F3000O6200">#REF!</definedName>
    <definedName name="F001P100F3000O630064006500">#REF!</definedName>
    <definedName name="F001P100F3000O6600">#REF!</definedName>
    <definedName name="F001P100F3000O6800">#REF!</definedName>
    <definedName name="F001P200F1000O6100">#REF!</definedName>
    <definedName name="F001P200F1000O6200">#REF!</definedName>
    <definedName name="F001P200F1000O630064006500">#REF!</definedName>
    <definedName name="F001P200F1000O6600">#REF!</definedName>
    <definedName name="F001P200F1000O6800">#REF!</definedName>
    <definedName name="F001P200F2100O6100">#REF!</definedName>
    <definedName name="F001P200F2100O6200">#REF!</definedName>
    <definedName name="F001P200F2100O630064006500">#REF!</definedName>
    <definedName name="F001P200F2100O6600">#REF!</definedName>
    <definedName name="F001P200F2100O6800">#REF!</definedName>
    <definedName name="F001P200F2200O6100">#REF!</definedName>
    <definedName name="F001P200F2200O6200">#REF!</definedName>
    <definedName name="F001P200F2200O630064006500">#REF!</definedName>
    <definedName name="F001P200F2200O6600">#REF!</definedName>
    <definedName name="F001P200F2200O6800">#REF!</definedName>
    <definedName name="F001P200F2300O6100">#REF!</definedName>
    <definedName name="F001P200F2300O6200">#REF!</definedName>
    <definedName name="F001P200F2300O630064006500">#REF!</definedName>
    <definedName name="F001P200F2300O6600">#REF!</definedName>
    <definedName name="F001P200F2300O6800">#REF!</definedName>
    <definedName name="F001P200F2400O6100">#REF!</definedName>
    <definedName name="F001P200F2400O6200">#REF!</definedName>
    <definedName name="F001P200F2400O630064006500">#REF!</definedName>
    <definedName name="F001P200F2400O6600">#REF!</definedName>
    <definedName name="F001P200F2400O6800">#REF!</definedName>
    <definedName name="F001P200F2500O6100">#REF!</definedName>
    <definedName name="F001P200F2500O6200">#REF!</definedName>
    <definedName name="F001P200F2500O630064006500">#REF!</definedName>
    <definedName name="F001P200F2500O6600">#REF!</definedName>
    <definedName name="F001P200F2500O6800">#REF!</definedName>
    <definedName name="F001P200F2600O6100">#REF!</definedName>
    <definedName name="F001P200F2600O6200">#REF!</definedName>
    <definedName name="F001P200F2600O630064006500">#REF!</definedName>
    <definedName name="F001P200F2600O6600">#REF!</definedName>
    <definedName name="F001P200F2600O6800">#REF!</definedName>
    <definedName name="F001P200F2900O6100">#REF!</definedName>
    <definedName name="F001P200F2900O6200">#REF!</definedName>
    <definedName name="F001P200F2900O630064006500">#REF!</definedName>
    <definedName name="F001P200F2900O6600">#REF!</definedName>
    <definedName name="F001P200F2900O6800">#REF!</definedName>
    <definedName name="F001P200F3000O6100">#REF!</definedName>
    <definedName name="F001P200F3000O6200">#REF!</definedName>
    <definedName name="F001P200F3000O630064006500">#REF!</definedName>
    <definedName name="F001P200F3000O6600">#REF!</definedName>
    <definedName name="F001P200F3000O6800">#REF!</definedName>
    <definedName name="F001P200PYDisabilityTot">#REF!</definedName>
    <definedName name="F001P200Subtotal">#REF!</definedName>
    <definedName name="F001P200TotBudgFY">#REF!</definedName>
    <definedName name="F001P400O6100">#REF!</definedName>
    <definedName name="F001P400O6200">#REF!</definedName>
    <definedName name="F001P400O630064006500">#REF!</definedName>
    <definedName name="F001P400O6600">#REF!</definedName>
    <definedName name="F001P400O6800">#REF!</definedName>
    <definedName name="F001P510O6100">#REF!</definedName>
    <definedName name="F001P510O6200">#REF!</definedName>
    <definedName name="F001P510O630064006500">#REF!</definedName>
    <definedName name="F001P510O6600">#REF!</definedName>
    <definedName name="F001P510O6800">#REF!</definedName>
    <definedName name="F001P530O6100">#REF!</definedName>
    <definedName name="F001P530O6200">#REF!</definedName>
    <definedName name="F001P530O630064006500">#REF!</definedName>
    <definedName name="F001P530O6600">#REF!</definedName>
    <definedName name="F001P530O6800">#REF!</definedName>
    <definedName name="F001P540O6100">#REF!</definedName>
    <definedName name="F001P540O6200">#REF!</definedName>
    <definedName name="F001P540O630064006500">#REF!</definedName>
    <definedName name="F001P540O6600">#REF!</definedName>
    <definedName name="F001P540O6800">#REF!</definedName>
    <definedName name="F001P550O6100">#REF!</definedName>
    <definedName name="F001P550O6200">#REF!</definedName>
    <definedName name="F001P550O630064006500">#REF!</definedName>
    <definedName name="F001P550O6600">#REF!</definedName>
    <definedName name="F001P550O6800">#REF!</definedName>
    <definedName name="F001P610O6100">#REF!</definedName>
    <definedName name="F001P610O6200">#REF!</definedName>
    <definedName name="F001P610O630064006500">#REF!</definedName>
    <definedName name="F001P610O6600">#REF!</definedName>
    <definedName name="F001P610O6800">#REF!</definedName>
    <definedName name="F001P620O6100">#REF!</definedName>
    <definedName name="F001P620O6200">#REF!</definedName>
    <definedName name="F001P620O630064006500">#REF!</definedName>
    <definedName name="F001P620O6600">#REF!</definedName>
    <definedName name="F001P620O6800">#REF!</definedName>
    <definedName name="F001P630O6100">#REF!</definedName>
    <definedName name="F001P630O6200">#REF!</definedName>
    <definedName name="F001P630O630064006500">#REF!</definedName>
    <definedName name="F001P630O6600">#REF!</definedName>
    <definedName name="F001P630O6800">#REF!</definedName>
    <definedName name="F001P700800900O6100">#REF!</definedName>
    <definedName name="F001P700800900O6200">#REF!</definedName>
    <definedName name="F001P700800900O630064006500">#REF!</definedName>
    <definedName name="F001P700800900O6600">#REF!</definedName>
    <definedName name="F001P700800900O6800">#REF!</definedName>
    <definedName name="F001TotalExp">#REF!</definedName>
    <definedName name="F001TotExpCurrFY">#REF!</definedName>
    <definedName name="F010O6590BudgFY">#REF!</definedName>
    <definedName name="F020TotBudgFY">#REF!</definedName>
    <definedName name="F020TotCurrFY">#REF!</definedName>
    <definedName name="F071BudgFY">#REF!</definedName>
    <definedName name="F071CurrFY">#REF!</definedName>
    <definedName name="F072BudgFY">#REF!</definedName>
    <definedName name="F072CurrFY">#REF!</definedName>
    <definedName name="F500BudgFY">#REF!</definedName>
    <definedName name="F500CurrFY">#REF!</definedName>
    <definedName name="F510BudgFY">#REF!</definedName>
    <definedName name="F510CurrFY">#REF!</definedName>
    <definedName name="F525BudgFY">#REF!</definedName>
    <definedName name="F525CurrFY">#REF!</definedName>
    <definedName name="F610TotalBudgFY">#REF!</definedName>
    <definedName name="F610TotalCurrFY">#REF!</definedName>
    <definedName name="F620TotalBudgFY">#REF!</definedName>
    <definedName name="F620TotalCurrFY">#REF!</definedName>
    <definedName name="F630TotalBudgFY">#REF!</definedName>
    <definedName name="F630TotalCurrFY">#REF!</definedName>
    <definedName name="F695TotalBudgFY">#REF!</definedName>
    <definedName name="F695TotalCurrFY">#REF!</definedName>
    <definedName name="F700BudgFY">#REF!</definedName>
    <definedName name="F700CurrFY">#REF!</definedName>
    <definedName name="GBLBudgFY">#REF!</definedName>
    <definedName name="JTEDBudgFY">#REF!</definedName>
    <definedName name="PrimTaxRateCurrFY">#REF!</definedName>
    <definedName name="_xlnm.Print_Area" localSheetId="0">Notice!$A$1:$L$134</definedName>
    <definedName name="PriorYearADM">Notice!$C$13</definedName>
    <definedName name="SPEDCareerEdBudgFY">#REF!</definedName>
    <definedName name="SPEDCareerEdCurrFY">#REF!</definedName>
    <definedName name="SPEDELLCompInstrBudgFY">#REF!</definedName>
    <definedName name="SPEDELLCompInstrCurrFY">#REF!</definedName>
    <definedName name="SPEDELLIncCostBudgFY">#REF!</definedName>
    <definedName name="SPEDELLIncCostCurrFY">#REF!</definedName>
    <definedName name="SPEDGiftedEdBudgFY">#REF!</definedName>
    <definedName name="SPEDGiftedEdCurrFY">#REF!</definedName>
    <definedName name="SPEDRemedialEdBudgFY">#REF!</definedName>
    <definedName name="SPEDRemedialEdCurrFY">#REF!</definedName>
    <definedName name="SPEDStaff">Notice!$N$46</definedName>
    <definedName name="SPEDTeacher">Notice!$N$45</definedName>
    <definedName name="SPEDVocTechEdBudgFY">#REF!</definedName>
    <definedName name="SPEDVocTechEdCurrFY">#REF!</definedName>
    <definedName name="TotClassSiteFundExpBudgFY">#REF!</definedName>
    <definedName name="TotClassSiteFundExpCurrFY">#REF!</definedName>
    <definedName name="TotFedProjFundBudgFY">#REF!</definedName>
    <definedName name="TotFedProjFundCurrFY">#REF!</definedName>
    <definedName name="TotSecTaxRateBudgFY">#REF!</definedName>
    <definedName name="TotSecTaxRateCurrFY">#REF!</definedName>
    <definedName name="TotStateProjFundBudgFY">#REF!</definedName>
    <definedName name="TotStateProjFundCurrFY">#REF!</definedName>
    <definedName name="UCBLBudgF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K22" i="2"/>
  <c r="F23" i="2"/>
  <c r="B23" i="2"/>
  <c r="I134" i="2" l="1"/>
  <c r="F134" i="2"/>
  <c r="E134" i="2"/>
  <c r="D134" i="2"/>
  <c r="I133" i="2"/>
  <c r="F133" i="2"/>
  <c r="E133" i="2"/>
  <c r="D133" i="2"/>
  <c r="I130" i="2"/>
  <c r="F130" i="2"/>
  <c r="E130" i="2"/>
  <c r="D130" i="2"/>
  <c r="I129" i="2"/>
  <c r="F129" i="2"/>
  <c r="E129" i="2"/>
  <c r="D129" i="2"/>
  <c r="I128" i="2"/>
  <c r="F128" i="2"/>
  <c r="E128" i="2"/>
  <c r="D128" i="2"/>
  <c r="I127" i="2"/>
  <c r="F127" i="2"/>
  <c r="E127" i="2"/>
  <c r="D127" i="2"/>
  <c r="I126" i="2"/>
  <c r="F126" i="2"/>
  <c r="E126" i="2"/>
  <c r="D126" i="2"/>
  <c r="I124" i="2"/>
  <c r="F124" i="2"/>
  <c r="E124" i="2"/>
  <c r="D124" i="2"/>
  <c r="I123" i="2"/>
  <c r="F123" i="2"/>
  <c r="E123" i="2"/>
  <c r="D123" i="2"/>
  <c r="I122" i="2"/>
  <c r="F122" i="2"/>
  <c r="E122" i="2"/>
  <c r="D122" i="2"/>
  <c r="I121" i="2"/>
  <c r="F121" i="2"/>
  <c r="E121" i="2"/>
  <c r="D121" i="2"/>
  <c r="E116" i="2"/>
  <c r="E115" i="2"/>
  <c r="E114" i="2"/>
  <c r="E113" i="2"/>
  <c r="E112" i="2"/>
  <c r="E111" i="2"/>
  <c r="E110" i="2"/>
  <c r="E109" i="2"/>
  <c r="E108" i="2"/>
  <c r="D104" i="2"/>
  <c r="D103" i="2"/>
  <c r="D102" i="2"/>
  <c r="D101" i="2"/>
  <c r="D100" i="2"/>
  <c r="D99" i="2"/>
  <c r="D98" i="2"/>
  <c r="D97" i="2"/>
  <c r="D96" i="2"/>
  <c r="D95" i="2"/>
  <c r="D94" i="2"/>
  <c r="D93" i="2"/>
  <c r="D92" i="2"/>
  <c r="D91" i="2"/>
  <c r="D90" i="2"/>
  <c r="D89" i="2"/>
  <c r="H80" i="2"/>
  <c r="E80" i="2"/>
  <c r="H78" i="2"/>
  <c r="E78" i="2"/>
  <c r="H77" i="2"/>
  <c r="E77" i="2"/>
  <c r="H76" i="2"/>
  <c r="E76" i="2"/>
  <c r="H75" i="2"/>
  <c r="E75" i="2"/>
  <c r="H73" i="2"/>
  <c r="E73" i="2"/>
  <c r="H72" i="2"/>
  <c r="E72" i="2"/>
  <c r="H71" i="2"/>
  <c r="E71" i="2"/>
  <c r="H70" i="2"/>
  <c r="E70" i="2"/>
  <c r="H69" i="2"/>
  <c r="E69" i="2"/>
  <c r="H67" i="2"/>
  <c r="E67" i="2"/>
  <c r="H65" i="2"/>
  <c r="E65" i="2"/>
  <c r="H63" i="2"/>
  <c r="E63" i="2"/>
  <c r="H62" i="2"/>
  <c r="E62" i="2"/>
  <c r="H61" i="2"/>
  <c r="E61" i="2"/>
  <c r="H60" i="2"/>
  <c r="E60" i="2"/>
  <c r="H59" i="2"/>
  <c r="E59" i="2"/>
  <c r="H58" i="2"/>
  <c r="E58" i="2"/>
  <c r="H57" i="2"/>
  <c r="E57" i="2"/>
  <c r="H56" i="2"/>
  <c r="E56" i="2"/>
  <c r="H54" i="2"/>
  <c r="E54" i="2"/>
  <c r="H52" i="2"/>
  <c r="E52" i="2"/>
  <c r="D44" i="2"/>
  <c r="D43" i="2"/>
  <c r="D42" i="2"/>
  <c r="E37" i="2"/>
  <c r="D37" i="2"/>
  <c r="F35" i="2"/>
  <c r="E34" i="2"/>
  <c r="D34" i="2"/>
  <c r="E32" i="2"/>
  <c r="D32" i="2"/>
  <c r="C32" i="2"/>
  <c r="K33" i="2"/>
  <c r="K32" i="2"/>
  <c r="K31" i="2"/>
  <c r="K30" i="2"/>
  <c r="C1" i="2"/>
  <c r="C103" i="2"/>
  <c r="C102" i="2"/>
  <c r="C101" i="2"/>
  <c r="C100" i="2"/>
  <c r="C99" i="2"/>
  <c r="C98" i="2"/>
  <c r="C97" i="2"/>
  <c r="C96" i="2"/>
  <c r="C95" i="2"/>
  <c r="C94" i="2"/>
  <c r="C93" i="2"/>
  <c r="C92" i="2"/>
  <c r="C91" i="2"/>
  <c r="C90" i="2"/>
  <c r="C89" i="2"/>
  <c r="C104" i="2"/>
  <c r="F80" i="2"/>
  <c r="D80" i="2"/>
  <c r="F78" i="2"/>
  <c r="D78" i="2"/>
  <c r="F77" i="2"/>
  <c r="D77" i="2"/>
  <c r="F76" i="2"/>
  <c r="D76" i="2"/>
  <c r="F75" i="2"/>
  <c r="D75" i="2"/>
  <c r="F73" i="2"/>
  <c r="D73" i="2"/>
  <c r="F72" i="2"/>
  <c r="D72" i="2"/>
  <c r="F71" i="2"/>
  <c r="D71" i="2"/>
  <c r="D74" i="2" s="1"/>
  <c r="F70" i="2"/>
  <c r="F74" i="2" s="1"/>
  <c r="D70" i="2"/>
  <c r="F69" i="2"/>
  <c r="D69" i="2"/>
  <c r="F67" i="2"/>
  <c r="D67" i="2"/>
  <c r="F65" i="2"/>
  <c r="D65" i="2"/>
  <c r="F63" i="2"/>
  <c r="D63" i="2"/>
  <c r="F62" i="2"/>
  <c r="D62" i="2"/>
  <c r="F61" i="2"/>
  <c r="D61" i="2"/>
  <c r="F60" i="2"/>
  <c r="D60" i="2"/>
  <c r="F59" i="2"/>
  <c r="F64" i="2" s="1"/>
  <c r="D59" i="2"/>
  <c r="F58" i="2"/>
  <c r="D58" i="2"/>
  <c r="F57" i="2"/>
  <c r="D57" i="2"/>
  <c r="F56" i="2"/>
  <c r="D56" i="2"/>
  <c r="F54" i="2"/>
  <c r="D54" i="2"/>
  <c r="F52" i="2"/>
  <c r="D52" i="2"/>
  <c r="D64" i="2"/>
  <c r="D81" i="2" l="1"/>
  <c r="F81" i="2"/>
  <c r="E102" i="2" l="1"/>
  <c r="F101" i="2"/>
  <c r="E98" i="2"/>
  <c r="F97" i="2"/>
  <c r="E91" i="2"/>
  <c r="J67" i="2"/>
  <c r="J65" i="2"/>
  <c r="J63" i="2"/>
  <c r="J57" i="2"/>
  <c r="J56" i="2"/>
  <c r="K21" i="2"/>
  <c r="A21" i="2"/>
  <c r="F98" i="2"/>
  <c r="I80" i="2"/>
  <c r="I78" i="2"/>
  <c r="I76" i="2"/>
  <c r="I75" i="2"/>
  <c r="I73" i="2"/>
  <c r="I72" i="2"/>
  <c r="I71" i="2"/>
  <c r="I67" i="2"/>
  <c r="I65" i="2"/>
  <c r="I63" i="2"/>
  <c r="J62" i="2"/>
  <c r="I62" i="2"/>
  <c r="I61" i="2"/>
  <c r="I59" i="2"/>
  <c r="I58" i="2"/>
  <c r="I57" i="2"/>
  <c r="I56" i="2"/>
  <c r="I54" i="2"/>
  <c r="J76" i="2" l="1"/>
  <c r="J59" i="2"/>
  <c r="J70" i="2"/>
  <c r="J60" i="2"/>
  <c r="J77" i="2"/>
  <c r="E94" i="2"/>
  <c r="F94" i="2" s="1"/>
  <c r="J80" i="2"/>
  <c r="K80" i="2" s="1"/>
  <c r="K56" i="2"/>
  <c r="J61" i="2"/>
  <c r="K61" i="2" s="1"/>
  <c r="E96" i="2"/>
  <c r="F96" i="2" s="1"/>
  <c r="F91" i="2"/>
  <c r="F100" i="2"/>
  <c r="F102" i="2"/>
  <c r="J71" i="2"/>
  <c r="K71" i="2" s="1"/>
  <c r="F89" i="2"/>
  <c r="E104" i="2"/>
  <c r="F104" i="2" s="1"/>
  <c r="E97" i="2"/>
  <c r="J72" i="2"/>
  <c r="K72" i="2" s="1"/>
  <c r="F99" i="2"/>
  <c r="J73" i="2"/>
  <c r="H64" i="2"/>
  <c r="H74" i="2"/>
  <c r="K62" i="2"/>
  <c r="E99" i="2"/>
  <c r="J54" i="2"/>
  <c r="K54" i="2" s="1"/>
  <c r="J75" i="2"/>
  <c r="K75" i="2" s="1"/>
  <c r="E92" i="2"/>
  <c r="E89" i="2"/>
  <c r="E100" i="2"/>
  <c r="E101" i="2"/>
  <c r="E90" i="2"/>
  <c r="F90" i="2" s="1"/>
  <c r="J58" i="2"/>
  <c r="K58" i="2" s="1"/>
  <c r="J69" i="2"/>
  <c r="J78" i="2"/>
  <c r="K78" i="2" s="1"/>
  <c r="K57" i="2"/>
  <c r="K73" i="2"/>
  <c r="I60" i="2"/>
  <c r="K60" i="2" s="1"/>
  <c r="I69" i="2"/>
  <c r="I70" i="2"/>
  <c r="K70" i="2" s="1"/>
  <c r="F92" i="2"/>
  <c r="I77" i="2"/>
  <c r="K77" i="2" s="1"/>
  <c r="E93" i="2"/>
  <c r="F93" i="2" s="1"/>
  <c r="K63" i="2"/>
  <c r="E95" i="2"/>
  <c r="F95" i="2" s="1"/>
  <c r="E103" i="2"/>
  <c r="F103" i="2" s="1"/>
  <c r="K59" i="2"/>
  <c r="E64" i="2"/>
  <c r="E74" i="2"/>
  <c r="K76" i="2"/>
  <c r="K65" i="2"/>
  <c r="K67" i="2"/>
  <c r="D24" i="2"/>
  <c r="A24" i="2"/>
  <c r="J52" i="2"/>
  <c r="I52" i="2"/>
  <c r="A3" i="2"/>
  <c r="H81" i="2" l="1"/>
  <c r="I74" i="2"/>
  <c r="J74" i="2"/>
  <c r="J64" i="2"/>
  <c r="K69" i="2"/>
  <c r="E81" i="2"/>
  <c r="K52" i="2"/>
  <c r="I64" i="2"/>
  <c r="K74" i="2"/>
  <c r="J81" i="2" l="1"/>
  <c r="I81" i="2"/>
  <c r="K64" i="2"/>
  <c r="K81" i="2" l="1"/>
  <c r="D115" i="2" l="1"/>
  <c r="D112" i="2"/>
  <c r="D114" i="2" l="1"/>
  <c r="D113" i="2"/>
  <c r="D111" i="2"/>
  <c r="D110" i="2"/>
  <c r="D109" i="2"/>
  <c r="D108" i="2"/>
  <c r="D116" i="2" l="1"/>
  <c r="E43" i="2" l="1"/>
  <c r="E42" i="2" l="1"/>
  <c r="E44" i="2" l="1"/>
</calcChain>
</file>

<file path=xl/sharedStrings.xml><?xml version="1.0" encoding="utf-8"?>
<sst xmlns="http://schemas.openxmlformats.org/spreadsheetml/2006/main" count="186" uniqueCount="150">
  <si>
    <t>AZ</t>
  </si>
  <si>
    <t>A copy of the agenda of the matters to be discussed or decided at the meeting may be obtained by contacting:</t>
  </si>
  <si>
    <t>Meeting Date:</t>
  </si>
  <si>
    <t>Time:</t>
  </si>
  <si>
    <t>Street Address:</t>
  </si>
  <si>
    <t>Bldg:</t>
  </si>
  <si>
    <t>City:</t>
  </si>
  <si>
    <t>Rm/Ste:</t>
  </si>
  <si>
    <t>State:</t>
  </si>
  <si>
    <t>Zip:</t>
  </si>
  <si>
    <t>Contact Name:</t>
  </si>
  <si>
    <t>Email Address:</t>
  </si>
  <si>
    <t>Phone:</t>
  </si>
  <si>
    <t>Phone Ext:</t>
  </si>
  <si>
    <t>Comments:</t>
  </si>
  <si>
    <t>Location:</t>
  </si>
  <si>
    <t>CTDS:</t>
  </si>
  <si>
    <t>District:</t>
  </si>
  <si>
    <t>The information above is posted on ADE's Web site pursuant to A.R.S. §15-905(C) and is not intended to satisfy Open Meeting Law requirements under A.R.S. §38-431.02 et seq.</t>
  </si>
  <si>
    <t>CTDS NUMBER</t>
  </si>
  <si>
    <t>VERSION</t>
  </si>
  <si>
    <t>I certify that the Budget of</t>
  </si>
  <si>
    <t xml:space="preserve">District, </t>
  </si>
  <si>
    <t>revised by the Governing Board on</t>
  </si>
  <si>
    <t>during normal business hours.</t>
  </si>
  <si>
    <t>President of the Governing Board</t>
  </si>
  <si>
    <t>1.  Average Daily Membership:</t>
  </si>
  <si>
    <t>2.  Tax Rates:</t>
  </si>
  <si>
    <t>Prior Yr.</t>
  </si>
  <si>
    <t>Budget Yr.</t>
  </si>
  <si>
    <t>Attending</t>
  </si>
  <si>
    <t>Budget FY</t>
  </si>
  <si>
    <t>MAINTENANCE AND OPERATION EXPENDITURES</t>
  </si>
  <si>
    <t xml:space="preserve"> </t>
  </si>
  <si>
    <t>% Inc./(Decr.)</t>
  </si>
  <si>
    <t>Salaries and Benefits</t>
  </si>
  <si>
    <t>Other</t>
  </si>
  <si>
    <t>TOTAL</t>
  </si>
  <si>
    <t>from</t>
  </si>
  <si>
    <t>Prior FY</t>
  </si>
  <si>
    <t>100 Regular Education</t>
  </si>
  <si>
    <t xml:space="preserve">   1000 Instruction</t>
  </si>
  <si>
    <t xml:space="preserve">   2000 Support Services</t>
  </si>
  <si>
    <t xml:space="preserve">      2100 Students</t>
  </si>
  <si>
    <t xml:space="preserve">      2200 Instructional Staff</t>
  </si>
  <si>
    <t xml:space="preserve">      2300, 2400, 2500 Administration</t>
  </si>
  <si>
    <t xml:space="preserve">      2600 Oper./Maint. of Plant</t>
  </si>
  <si>
    <t xml:space="preserve">      2900 Other </t>
  </si>
  <si>
    <t xml:space="preserve">   3000 Oper. of Noninstructional Services</t>
  </si>
  <si>
    <t>610 School-Sponsored Cocurric. Activities</t>
  </si>
  <si>
    <t>620 School-Sponsored Athletics</t>
  </si>
  <si>
    <t>630, 700, 800, 900 Other Programs</t>
  </si>
  <si>
    <t xml:space="preserve">   Regular Education Subsection Subtotal </t>
  </si>
  <si>
    <t>200 and 300 Special Education</t>
  </si>
  <si>
    <t xml:space="preserve">   Special Education Subsection Subtotal </t>
  </si>
  <si>
    <t>400 Pupil Transportation</t>
  </si>
  <si>
    <t>510 Desegregation</t>
  </si>
  <si>
    <t>530 Dropout Prevention Programs</t>
  </si>
  <si>
    <t>540 Joint Career and Technical Education</t>
  </si>
  <si>
    <t xml:space="preserve">       and Vocational Education Center</t>
  </si>
  <si>
    <t>550 K-3 Reading Program</t>
  </si>
  <si>
    <t xml:space="preserve">   TOTAL EXPENDITURES</t>
  </si>
  <si>
    <t>TOTAL EXPENDITURES BY FUND</t>
  </si>
  <si>
    <t>$ Increase/</t>
  </si>
  <si>
    <t>% Increase/</t>
  </si>
  <si>
    <t>Budgeted Expenditures</t>
  </si>
  <si>
    <t>(Decrease)</t>
  </si>
  <si>
    <t>Fund</t>
  </si>
  <si>
    <t xml:space="preserve"> Prior FY</t>
  </si>
  <si>
    <t>Maintenance &amp; Operation</t>
  </si>
  <si>
    <t>Instructional Improvement</t>
  </si>
  <si>
    <t>Compensatory Instruction</t>
  </si>
  <si>
    <t>Classroom Site</t>
  </si>
  <si>
    <t>Federal Projects</t>
  </si>
  <si>
    <t>State Projects</t>
  </si>
  <si>
    <t>Unrestricted Capital Outlay</t>
  </si>
  <si>
    <t>New School Facilities</t>
  </si>
  <si>
    <t>Adjacent Ways</t>
  </si>
  <si>
    <t>Debt Service</t>
  </si>
  <si>
    <t>School Plant Fund</t>
  </si>
  <si>
    <t>Auxiliary Operations</t>
  </si>
  <si>
    <t>Bond Building</t>
  </si>
  <si>
    <t>Food Service</t>
  </si>
  <si>
    <t>M&amp;O FUND SPECIAL EDUCATION PROGRAMS BY TYPE</t>
  </si>
  <si>
    <t>PROPOSED STAFFING SUMMARY</t>
  </si>
  <si>
    <r>
      <t>Program (A.R.S. §§15-761</t>
    </r>
    <r>
      <rPr>
        <b/>
        <sz val="8"/>
        <rFont val="Times New Roman"/>
        <family val="1"/>
      </rPr>
      <t xml:space="preserve"> and 15-903)</t>
    </r>
  </si>
  <si>
    <t>Total All Disability Classifications</t>
  </si>
  <si>
    <t>Staff Type</t>
  </si>
  <si>
    <t>Gifted Education</t>
  </si>
  <si>
    <t>Certified --</t>
  </si>
  <si>
    <t>Remedial Education</t>
  </si>
  <si>
    <t>1  to</t>
  </si>
  <si>
    <t>ELL Incremental Costs</t>
  </si>
  <si>
    <t>ELL Compensatory Instruction</t>
  </si>
  <si>
    <t>Teachers</t>
  </si>
  <si>
    <t>Classified --</t>
  </si>
  <si>
    <t xml:space="preserve">             TOTAL</t>
  </si>
  <si>
    <t>Managers, Supervisors, Directors</t>
  </si>
  <si>
    <t>Teachers Aides</t>
  </si>
  <si>
    <t>Special Education --</t>
  </si>
  <si>
    <t>Teacher</t>
  </si>
  <si>
    <t xml:space="preserve">1 to </t>
  </si>
  <si>
    <t>Staff</t>
  </si>
  <si>
    <t>3. Increase in average teacher salary from the prior year</t>
  </si>
  <si>
    <t xml:space="preserve">4. Percentage increase </t>
  </si>
  <si>
    <t>Est. Budget FY</t>
  </si>
  <si>
    <r>
      <t xml:space="preserve">Primary Rate </t>
    </r>
    <r>
      <rPr>
        <sz val="8"/>
        <color indexed="8"/>
        <rFont val="Times New Roman"/>
        <family val="1"/>
      </rPr>
      <t>(equalization formula funding and budget add-ons not required to be in secondary rate)</t>
    </r>
  </si>
  <si>
    <t>Maintenance &amp; Operation Fund</t>
  </si>
  <si>
    <t>Classroom Site Fund</t>
  </si>
  <si>
    <t>Unrestricted Capital Outlay Fund</t>
  </si>
  <si>
    <t>Budgeted</t>
  </si>
  <si>
    <t>Expenditures</t>
  </si>
  <si>
    <t xml:space="preserve">3.  Budgeted expenditures and budget limits  </t>
  </si>
  <si>
    <t>proposed by the Governing Board on</t>
  </si>
  <si>
    <t xml:space="preserve">   at the District Office, telephone</t>
  </si>
  <si>
    <r>
      <rPr>
        <b/>
        <sz val="8"/>
        <rFont val="Times New Roman"/>
        <family val="1"/>
      </rPr>
      <t>Secondary Rate</t>
    </r>
    <r>
      <rPr>
        <sz val="8"/>
        <rFont val="Times New Roman"/>
        <family val="1"/>
      </rPr>
      <t xml:space="preserve"> (voter-approved overrides, bonds, and Career Technical Education Districts, and desegregation, if applicable)</t>
    </r>
  </si>
  <si>
    <t xml:space="preserve"> SUMMARY OF SCHOOL DISTRICT REVISED EXPENDITURE BUDGET</t>
  </si>
  <si>
    <t xml:space="preserve"> SUMMARY OF SCHOOL DISTRICT PROPOSED EXPENDITURE BUDGET</t>
  </si>
  <si>
    <t>Budget Limit</t>
  </si>
  <si>
    <t>Vocational and Technical Education (non-CTED)</t>
  </si>
  <si>
    <t>Career Technical Education (CTED)</t>
  </si>
  <si>
    <t>Career Education (non-CTED)</t>
  </si>
  <si>
    <t>Staff-Pupil Ratio</t>
  </si>
  <si>
    <t>Employee FTE</t>
  </si>
  <si>
    <t>Total FTE</t>
  </si>
  <si>
    <t>Superintendent, Principals, Other Administrators</t>
  </si>
  <si>
    <t>English Language Learners</t>
  </si>
  <si>
    <t>4. Average Teacher Salaries (A.R.S. §15-903.E)</t>
  </si>
  <si>
    <t xml:space="preserve">        Subtotal</t>
  </si>
  <si>
    <t xml:space="preserve">                            TOTAL</t>
  </si>
  <si>
    <t>Purchased Services Personnel FTE</t>
  </si>
  <si>
    <r>
      <t xml:space="preserve">This is a notification that the above mentioned School District will be having a public hearing and board meeting to </t>
    </r>
    <r>
      <rPr>
        <b/>
        <sz val="10"/>
        <color indexed="9"/>
        <rFont val="Arial"/>
        <family val="2"/>
      </rPr>
      <t>revise</t>
    </r>
    <r>
      <rPr>
        <sz val="10"/>
        <color indexed="9"/>
        <rFont val="Arial"/>
        <family val="2"/>
      </rPr>
      <t xml:space="preserve"> its Fiscal Year 2024 Expenditure Budget, as required by A.R.S. §15-905(E)(1).</t>
    </r>
  </si>
  <si>
    <r>
      <t xml:space="preserve">This is a notification that the above mentioned School District will be having a public hearing and board meeting to </t>
    </r>
    <r>
      <rPr>
        <b/>
        <sz val="10"/>
        <color indexed="9"/>
        <rFont val="Arial"/>
        <family val="2"/>
      </rPr>
      <t>adopt</t>
    </r>
    <r>
      <rPr>
        <sz val="10"/>
        <color indexed="9"/>
        <rFont val="Arial"/>
        <family val="2"/>
      </rPr>
      <t xml:space="preserve"> its Fiscal Year 2024 Expenditure Budget.</t>
    </r>
  </si>
  <si>
    <t>, 2023, and that the complete Revised Expenditure Budget may be reviewed by contacting</t>
  </si>
  <si>
    <t>1. Average salary of all teachers employed in FY 2024 (budget year)</t>
  </si>
  <si>
    <t>2. Average salary of all teachers employed in FY 2023 (prior year)</t>
  </si>
  <si>
    <t>County for fiscal year 2024 was officially</t>
  </si>
  <si>
    <t>2022 ADM</t>
  </si>
  <si>
    <t>2023 ADM</t>
  </si>
  <si>
    <t>2024 ADM</t>
  </si>
  <si>
    <t>, 2023, and that the complete Proposed Expenditure Budget may be reviewed by contacting</t>
  </si>
  <si>
    <t>110100000</t>
  </si>
  <si>
    <t>75 N. Bailey St.</t>
  </si>
  <si>
    <t>Superintendent Bldg.</t>
  </si>
  <si>
    <t>Resource Library</t>
  </si>
  <si>
    <t>Florence</t>
  </si>
  <si>
    <t>Tonya Taylor</t>
  </si>
  <si>
    <t>520-866-6579</t>
  </si>
  <si>
    <t>ttaylor@pinalcso.org</t>
  </si>
  <si>
    <t>June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</si>
</sst>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h:mm\ AM/PM;@"/>
    <numFmt numFmtId="165" formatCode="#,##0.000_);[Red]\(#,##0.000\)"/>
    <numFmt numFmtId="166" formatCode="#,##0.0000_);[Red]\(#,##0.0000\)"/>
    <numFmt numFmtId="167" formatCode="0.0%"/>
    <numFmt numFmtId="168" formatCode="#,##0.0_);\(#,##0.0\)"/>
  </numFmts>
  <fonts count="23">
    <font>
      <sz val="10"/>
      <name val="Arial"/>
      <family val="2"/>
    </font>
    <font>
      <u/>
      <sz val="10"/>
      <color indexed="12"/>
      <name val="Arial"/>
      <family val="2"/>
    </font>
    <font>
      <b/>
      <sz val="10"/>
      <name val="Arial"/>
      <family val="2"/>
    </font>
    <font>
      <sz val="8"/>
      <name val="Arial MT"/>
      <family val="2"/>
    </font>
    <font>
      <b/>
      <sz val="8"/>
      <color indexed="8"/>
      <name val="Times New Roman"/>
      <family val="1"/>
    </font>
    <font>
      <sz val="8"/>
      <name val="Times New Roman"/>
      <family val="1"/>
    </font>
    <font>
      <b/>
      <sz val="8"/>
      <name val="Times New Roman"/>
      <family val="1"/>
    </font>
    <font>
      <sz val="8"/>
      <color indexed="8"/>
      <name val="Times New Roman"/>
      <family val="1"/>
    </font>
    <font>
      <b/>
      <sz val="8"/>
      <color indexed="12"/>
      <name val="Times New Roman"/>
      <family val="1"/>
    </font>
    <font>
      <sz val="9"/>
      <name val="Arial MT"/>
      <family val="2"/>
    </font>
    <font>
      <sz val="12"/>
      <name val="Arial"/>
      <family val="2"/>
    </font>
    <font>
      <b/>
      <vertAlign val="superscript"/>
      <sz val="8"/>
      <color indexed="8"/>
      <name val="Times New Roman"/>
      <family val="1"/>
    </font>
    <font>
      <sz val="9"/>
      <name val="Times New Roman"/>
      <family val="1"/>
    </font>
    <font>
      <sz val="10"/>
      <color indexed="9"/>
      <name val="Arial"/>
      <family val="2"/>
    </font>
    <font>
      <b/>
      <sz val="10"/>
      <color indexed="9"/>
      <name val="Arial"/>
      <family val="2"/>
    </font>
    <font>
      <b/>
      <sz val="20"/>
      <color rgb="FFC00000"/>
      <name val="Times New Roman"/>
      <family val="1"/>
    </font>
    <font>
      <sz val="10"/>
      <color theme="0"/>
      <name val="Arial"/>
      <family val="2"/>
    </font>
    <font>
      <b/>
      <sz val="22"/>
      <color rgb="FFFF0000"/>
      <name val="Times New Roman"/>
      <family val="1"/>
    </font>
    <font>
      <b/>
      <sz val="8"/>
      <color theme="0"/>
      <name val="Times New Roman"/>
      <family val="1"/>
    </font>
    <font>
      <sz val="8"/>
      <color theme="0"/>
      <name val="Times New Roman"/>
      <family val="1"/>
    </font>
    <font>
      <b/>
      <sz val="9"/>
      <name val="Times New Roman"/>
      <family val="1"/>
    </font>
    <font>
      <b/>
      <sz val="22"/>
      <name val="Times New Roman"/>
      <family val="1"/>
    </font>
    <font>
      <sz val="10"/>
      <name val="Arial"/>
      <family val="2"/>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5">
    <border>
      <left/>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8"/>
      </left>
      <right/>
      <top/>
      <bottom/>
      <diagonal/>
    </border>
    <border>
      <left/>
      <right/>
      <top style="thin">
        <color auto="1"/>
      </top>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auto="1"/>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indexed="8"/>
      </right>
      <top/>
      <bottom style="thin">
        <color auto="1"/>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indexed="8"/>
      </bottom>
      <diagonal/>
    </border>
    <border>
      <left/>
      <right style="thin">
        <color auto="1"/>
      </right>
      <top/>
      <bottom/>
      <diagonal/>
    </border>
    <border>
      <left style="thin">
        <color indexed="8"/>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auto="1"/>
      </top>
      <bottom/>
      <diagonal/>
    </border>
    <border>
      <left/>
      <right/>
      <top style="thin">
        <color auto="1"/>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top style="thin">
        <color indexed="8"/>
      </top>
      <bottom style="thin">
        <color auto="1"/>
      </bottom>
      <diagonal/>
    </border>
    <border>
      <left style="thin">
        <color indexed="8"/>
      </left>
      <right style="thin">
        <color indexed="8"/>
      </right>
      <top style="medium">
        <color auto="1"/>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bottom style="double">
        <color indexed="8"/>
      </bottom>
      <diagonal/>
    </border>
    <border>
      <left/>
      <right style="thin">
        <color auto="1"/>
      </right>
      <top style="thin">
        <color auto="1"/>
      </top>
      <bottom style="thin">
        <color auto="1"/>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indexed="8"/>
      </left>
      <right style="thin">
        <color auto="1"/>
      </right>
      <top style="thin">
        <color indexed="8"/>
      </top>
      <bottom/>
      <diagonal/>
    </border>
    <border>
      <left style="thin">
        <color auto="1"/>
      </left>
      <right style="thin">
        <color auto="1"/>
      </right>
      <top/>
      <bottom style="thin">
        <color auto="1"/>
      </bottom>
      <diagonal/>
    </border>
    <border>
      <left/>
      <right style="thin">
        <color auto="1"/>
      </right>
      <top style="thin">
        <color indexed="8"/>
      </top>
      <bottom style="thin">
        <color indexed="8"/>
      </bottom>
      <diagonal/>
    </border>
    <border>
      <left/>
      <right style="thin">
        <color auto="1"/>
      </right>
      <top style="thin">
        <color indexed="8"/>
      </top>
      <bottom/>
      <diagonal/>
    </border>
    <border>
      <left/>
      <right style="thin">
        <color auto="1"/>
      </right>
      <top/>
      <bottom style="thin">
        <color indexed="8"/>
      </bottom>
      <diagonal/>
    </border>
    <border>
      <left style="thin">
        <color indexed="8"/>
      </left>
      <right/>
      <top style="thin">
        <color indexed="8"/>
      </top>
      <bottom style="thin">
        <color auto="1"/>
      </bottom>
      <diagonal/>
    </border>
    <border>
      <left/>
      <right style="thin">
        <color auto="1"/>
      </right>
      <top style="thin">
        <color indexed="8"/>
      </top>
      <bottom style="thin">
        <color auto="1"/>
      </bottom>
      <diagonal/>
    </border>
    <border>
      <left/>
      <right style="thin">
        <color indexed="8"/>
      </right>
      <top style="thin">
        <color indexed="8"/>
      </top>
      <bottom style="thin">
        <color auto="1"/>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s>
  <cellStyleXfs count="11">
    <xf numFmtId="0" fontId="0" fillId="0" borderId="0"/>
    <xf numFmtId="9"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0" fontId="1" fillId="0" borderId="0" applyNumberFormat="0" applyFill="0" applyBorder="0">
      <protection locked="0"/>
    </xf>
    <xf numFmtId="0" fontId="22" fillId="0" borderId="0"/>
    <xf numFmtId="0" fontId="9" fillId="2" borderId="0"/>
    <xf numFmtId="0" fontId="3" fillId="2" borderId="0"/>
    <xf numFmtId="0" fontId="3" fillId="2" borderId="0"/>
  </cellStyleXfs>
  <cellXfs count="318">
    <xf numFmtId="0" fontId="0" fillId="0" borderId="0" xfId="0"/>
    <xf numFmtId="0" fontId="22" fillId="0" borderId="1" xfId="7" applyBorder="1" applyAlignment="1" applyProtection="1">
      <alignment horizontal="center"/>
      <protection locked="0"/>
    </xf>
    <xf numFmtId="49" fontId="6" fillId="0" borderId="2" xfId="7" applyNumberFormat="1" applyFont="1" applyBorder="1" applyAlignment="1" applyProtection="1">
      <alignment horizontal="center"/>
      <protection locked="0"/>
    </xf>
    <xf numFmtId="0" fontId="6" fillId="0" borderId="2" xfId="7" applyFont="1" applyBorder="1" applyProtection="1">
      <protection locked="0"/>
    </xf>
    <xf numFmtId="0" fontId="22" fillId="0" borderId="0" xfId="7" applyAlignment="1">
      <alignment horizontal="right"/>
    </xf>
    <xf numFmtId="49" fontId="22" fillId="0" borderId="2" xfId="7" applyNumberFormat="1" applyBorder="1"/>
    <xf numFmtId="0" fontId="22" fillId="0" borderId="0" xfId="7"/>
    <xf numFmtId="49" fontId="0" fillId="2" borderId="14" xfId="9" applyNumberFormat="1" applyFont="1" applyBorder="1" applyAlignment="1">
      <alignment horizontal="center"/>
    </xf>
    <xf numFmtId="49" fontId="0" fillId="2" borderId="0" xfId="9" applyNumberFormat="1" applyFont="1" applyAlignment="1">
      <alignment horizontal="center"/>
    </xf>
    <xf numFmtId="0" fontId="2" fillId="0" borderId="0" xfId="7" applyFont="1" applyAlignment="1">
      <alignment wrapText="1"/>
    </xf>
    <xf numFmtId="0" fontId="16" fillId="0" borderId="0" xfId="7" applyFont="1"/>
    <xf numFmtId="0" fontId="0" fillId="0" borderId="0" xfId="0" applyAlignment="1">
      <alignment wrapText="1"/>
    </xf>
    <xf numFmtId="0" fontId="16" fillId="0" borderId="0" xfId="0" applyFont="1" applyAlignment="1">
      <alignment wrapText="1"/>
    </xf>
    <xf numFmtId="0" fontId="22" fillId="0" borderId="0" xfId="7" applyAlignment="1">
      <alignment horizontal="center"/>
    </xf>
    <xf numFmtId="0" fontId="2" fillId="0" borderId="0" xfId="7" applyFont="1"/>
    <xf numFmtId="164" fontId="22" fillId="0" borderId="0" xfId="7" applyNumberFormat="1" applyAlignment="1">
      <alignment horizontal="center"/>
    </xf>
    <xf numFmtId="0" fontId="22" fillId="0" borderId="1" xfId="7" applyBorder="1" applyAlignment="1">
      <alignment horizontal="center"/>
    </xf>
    <xf numFmtId="0" fontId="22" fillId="0" borderId="0" xfId="7" applyAlignment="1">
      <alignment vertical="top" wrapText="1"/>
    </xf>
    <xf numFmtId="0" fontId="22" fillId="0" borderId="0" xfId="7" applyAlignment="1">
      <alignment horizontal="left"/>
    </xf>
    <xf numFmtId="0" fontId="18" fillId="0" borderId="0" xfId="7" applyFont="1"/>
    <xf numFmtId="37" fontId="4" fillId="2" borderId="0" xfId="9" applyNumberFormat="1" applyFont="1" applyAlignment="1">
      <alignment horizontal="right"/>
    </xf>
    <xf numFmtId="0" fontId="3" fillId="2" borderId="0" xfId="9"/>
    <xf numFmtId="0" fontId="22" fillId="0" borderId="0" xfId="7" applyAlignment="1">
      <alignment wrapText="1"/>
    </xf>
    <xf numFmtId="0" fontId="6" fillId="0" borderId="0" xfId="7" applyFont="1" applyAlignment="1">
      <alignment horizontal="right" wrapText="1"/>
    </xf>
    <xf numFmtId="0" fontId="6" fillId="2" borderId="0" xfId="9" applyFont="1" applyAlignment="1">
      <alignment horizontal="left"/>
    </xf>
    <xf numFmtId="0" fontId="6" fillId="2" borderId="0" xfId="9" applyFont="1" applyAlignment="1">
      <alignment horizontal="center"/>
    </xf>
    <xf numFmtId="0" fontId="6" fillId="0" borderId="0" xfId="9" applyFont="1" applyFill="1"/>
    <xf numFmtId="0" fontId="6" fillId="0" borderId="0" xfId="7" applyFont="1"/>
    <xf numFmtId="0" fontId="5" fillId="2" borderId="0" xfId="9" applyFont="1"/>
    <xf numFmtId="37" fontId="7" fillId="2" borderId="0" xfId="9" applyNumberFormat="1" applyFont="1"/>
    <xf numFmtId="0" fontId="19" fillId="0" borderId="0" xfId="7" applyFont="1"/>
    <xf numFmtId="37" fontId="4" fillId="2" borderId="0" xfId="9" applyNumberFormat="1" applyFont="1"/>
    <xf numFmtId="0" fontId="8" fillId="3" borderId="3" xfId="6" applyNumberFormat="1" applyFont="1" applyFill="1" applyBorder="1" applyProtection="1"/>
    <xf numFmtId="0" fontId="8" fillId="3" borderId="5" xfId="6" applyNumberFormat="1" applyFont="1" applyFill="1" applyBorder="1" applyProtection="1"/>
    <xf numFmtId="0" fontId="3" fillId="0" borderId="19" xfId="9" applyFill="1" applyBorder="1"/>
    <xf numFmtId="37" fontId="4" fillId="0" borderId="19" xfId="9" applyNumberFormat="1" applyFont="1" applyFill="1" applyBorder="1" applyAlignment="1">
      <alignment horizontal="center" vertical="center"/>
    </xf>
    <xf numFmtId="37" fontId="4" fillId="0" borderId="3" xfId="9" applyNumberFormat="1" applyFont="1" applyFill="1" applyBorder="1" applyAlignment="1">
      <alignment horizontal="left"/>
    </xf>
    <xf numFmtId="37" fontId="4" fillId="0" borderId="5" xfId="9" applyNumberFormat="1" applyFont="1" applyFill="1" applyBorder="1" applyAlignment="1">
      <alignment horizontal="left"/>
    </xf>
    <xf numFmtId="0" fontId="12" fillId="0" borderId="19" xfId="0" applyFont="1" applyBorder="1" applyAlignment="1">
      <alignment horizontal="left"/>
    </xf>
    <xf numFmtId="0" fontId="12" fillId="0" borderId="19" xfId="0" applyFont="1" applyBorder="1"/>
    <xf numFmtId="37" fontId="20" fillId="0" borderId="7" xfId="9" applyNumberFormat="1" applyFont="1" applyFill="1" applyBorder="1" applyAlignment="1">
      <alignment vertical="top" wrapText="1"/>
    </xf>
    <xf numFmtId="37" fontId="4" fillId="2" borderId="4" xfId="9" applyNumberFormat="1" applyFont="1" applyBorder="1"/>
    <xf numFmtId="0" fontId="6" fillId="0" borderId="0" xfId="9" applyFont="1" applyFill="1" applyAlignment="1">
      <alignment horizontal="center" vertical="top"/>
    </xf>
    <xf numFmtId="37" fontId="5" fillId="0" borderId="9" xfId="9" applyNumberFormat="1" applyFont="1" applyFill="1" applyBorder="1" applyAlignment="1">
      <alignment horizontal="left"/>
    </xf>
    <xf numFmtId="37" fontId="7" fillId="0" borderId="0" xfId="9" applyNumberFormat="1" applyFont="1" applyFill="1" applyAlignment="1">
      <alignment horizontal="left"/>
    </xf>
    <xf numFmtId="0" fontId="3" fillId="0" borderId="0" xfId="9" applyFill="1"/>
    <xf numFmtId="0" fontId="5" fillId="0" borderId="0" xfId="0" applyFont="1" applyAlignment="1">
      <alignment horizontal="right"/>
    </xf>
    <xf numFmtId="37" fontId="4" fillId="2" borderId="10" xfId="9" applyNumberFormat="1" applyFont="1" applyBorder="1" applyAlignment="1">
      <alignment horizontal="center" vertical="center"/>
    </xf>
    <xf numFmtId="165" fontId="7" fillId="0" borderId="31" xfId="9" applyNumberFormat="1" applyFont="1" applyFill="1" applyBorder="1"/>
    <xf numFmtId="0" fontId="5" fillId="2" borderId="8" xfId="9" applyFont="1" applyBorder="1"/>
    <xf numFmtId="37" fontId="4" fillId="2" borderId="15" xfId="9" applyNumberFormat="1" applyFont="1" applyBorder="1" applyAlignment="1">
      <alignment horizontal="center" vertical="center"/>
    </xf>
    <xf numFmtId="165" fontId="5" fillId="0" borderId="11" xfId="7" applyNumberFormat="1" applyFont="1" applyBorder="1"/>
    <xf numFmtId="165" fontId="5" fillId="0" borderId="16" xfId="7" applyNumberFormat="1" applyFont="1" applyBorder="1"/>
    <xf numFmtId="37" fontId="7" fillId="0" borderId="4" xfId="9" applyNumberFormat="1" applyFont="1" applyFill="1" applyBorder="1" applyAlignment="1">
      <alignment horizontal="left"/>
    </xf>
    <xf numFmtId="37" fontId="4" fillId="2" borderId="8" xfId="9" applyNumberFormat="1" applyFont="1" applyBorder="1"/>
    <xf numFmtId="37" fontId="4" fillId="2" borderId="19" xfId="9" applyNumberFormat="1" applyFont="1" applyBorder="1"/>
    <xf numFmtId="0" fontId="6" fillId="2" borderId="5" xfId="9" applyFont="1" applyBorder="1" applyAlignment="1">
      <alignment horizontal="center"/>
    </xf>
    <xf numFmtId="0" fontId="5" fillId="0" borderId="0" xfId="0" quotePrefix="1" applyFont="1" applyAlignment="1">
      <alignment horizontal="left"/>
    </xf>
    <xf numFmtId="0" fontId="5" fillId="0" borderId="0" xfId="7" applyFont="1"/>
    <xf numFmtId="0" fontId="5" fillId="0" borderId="10" xfId="7" applyFont="1" applyBorder="1"/>
    <xf numFmtId="37" fontId="21" fillId="0" borderId="0" xfId="9" applyNumberFormat="1" applyFont="1" applyFill="1" applyAlignment="1">
      <alignment vertical="top" wrapText="1"/>
    </xf>
    <xf numFmtId="37" fontId="17" fillId="0" borderId="0" xfId="9" applyNumberFormat="1" applyFont="1" applyFill="1" applyAlignment="1">
      <alignment vertical="top" wrapText="1"/>
    </xf>
    <xf numFmtId="37" fontId="4" fillId="0" borderId="0" xfId="9" applyNumberFormat="1" applyFont="1" applyFill="1" applyAlignment="1">
      <alignment horizontal="left"/>
    </xf>
    <xf numFmtId="0" fontId="12" fillId="0" borderId="0" xfId="0" applyFont="1" applyAlignment="1">
      <alignment horizontal="left"/>
    </xf>
    <xf numFmtId="0" fontId="12" fillId="0" borderId="0" xfId="0" applyFont="1"/>
    <xf numFmtId="38" fontId="5" fillId="0" borderId="0" xfId="0" applyNumberFormat="1" applyFont="1"/>
    <xf numFmtId="37" fontId="4" fillId="2" borderId="8" xfId="9" applyNumberFormat="1" applyFont="1" applyBorder="1" applyAlignment="1">
      <alignment horizontal="left"/>
    </xf>
    <xf numFmtId="37" fontId="4" fillId="2" borderId="0" xfId="9" applyNumberFormat="1" applyFont="1" applyAlignment="1">
      <alignment horizontal="left"/>
    </xf>
    <xf numFmtId="0" fontId="6" fillId="2" borderId="19" xfId="9" applyFont="1" applyBorder="1" applyAlignment="1">
      <alignment horizontal="center"/>
    </xf>
    <xf numFmtId="0" fontId="6" fillId="2" borderId="27" xfId="9" applyFont="1" applyBorder="1" applyAlignment="1">
      <alignment horizontal="center"/>
    </xf>
    <xf numFmtId="9" fontId="5" fillId="0" borderId="0" xfId="1" applyFont="1" applyFill="1" applyBorder="1" applyProtection="1"/>
    <xf numFmtId="0" fontId="22" fillId="0" borderId="4" xfId="7" applyBorder="1"/>
    <xf numFmtId="0" fontId="6" fillId="2" borderId="28" xfId="9" applyFont="1" applyBorder="1" applyAlignment="1">
      <alignment horizontal="center"/>
    </xf>
    <xf numFmtId="37" fontId="4" fillId="2" borderId="4" xfId="9" applyNumberFormat="1" applyFont="1" applyBorder="1" applyAlignment="1">
      <alignment horizontal="left"/>
    </xf>
    <xf numFmtId="37" fontId="7" fillId="2" borderId="8" xfId="9" applyNumberFormat="1" applyFont="1" applyBorder="1"/>
    <xf numFmtId="37" fontId="7" fillId="2" borderId="24" xfId="9" applyNumberFormat="1" applyFont="1" applyBorder="1"/>
    <xf numFmtId="37" fontId="5" fillId="2" borderId="23" xfId="10" applyNumberFormat="1" applyFont="1" applyBorder="1"/>
    <xf numFmtId="37" fontId="7" fillId="2" borderId="25" xfId="9" applyNumberFormat="1" applyFont="1" applyBorder="1"/>
    <xf numFmtId="37" fontId="4" fillId="2" borderId="22" xfId="9" applyNumberFormat="1" applyFont="1" applyBorder="1" applyAlignment="1">
      <alignment horizontal="left"/>
    </xf>
    <xf numFmtId="37" fontId="4" fillId="2" borderId="2" xfId="9" applyNumberFormat="1" applyFont="1" applyBorder="1" applyAlignment="1">
      <alignment horizontal="left"/>
    </xf>
    <xf numFmtId="0" fontId="22" fillId="0" borderId="2" xfId="7" applyBorder="1"/>
    <xf numFmtId="37" fontId="7" fillId="2" borderId="20" xfId="9" applyNumberFormat="1" applyFont="1" applyBorder="1"/>
    <xf numFmtId="37" fontId="7" fillId="2" borderId="26" xfId="9" applyNumberFormat="1" applyFont="1" applyBorder="1"/>
    <xf numFmtId="0" fontId="10" fillId="0" borderId="0" xfId="7" applyFont="1" applyAlignment="1">
      <alignment horizontal="left" vertical="center" wrapText="1"/>
    </xf>
    <xf numFmtId="0" fontId="10" fillId="0" borderId="2" xfId="7" applyFont="1" applyBorder="1" applyAlignment="1">
      <alignment horizontal="left" vertical="center" wrapText="1"/>
    </xf>
    <xf numFmtId="37" fontId="4" fillId="2" borderId="3" xfId="9" applyNumberFormat="1" applyFont="1" applyBorder="1" applyAlignment="1">
      <alignment horizontal="centerContinuous"/>
    </xf>
    <xf numFmtId="37" fontId="4" fillId="2" borderId="5" xfId="9" applyNumberFormat="1" applyFont="1" applyBorder="1" applyAlignment="1">
      <alignment horizontal="centerContinuous"/>
    </xf>
    <xf numFmtId="0" fontId="5" fillId="2" borderId="5" xfId="9" applyFont="1" applyBorder="1" applyAlignment="1">
      <alignment horizontal="centerContinuous"/>
    </xf>
    <xf numFmtId="37" fontId="4" fillId="2" borderId="32" xfId="9" applyNumberFormat="1" applyFont="1" applyBorder="1" applyAlignment="1">
      <alignment horizontal="centerContinuous"/>
    </xf>
    <xf numFmtId="37" fontId="4" fillId="2" borderId="6" xfId="9" applyNumberFormat="1" applyFont="1" applyBorder="1" applyAlignment="1">
      <alignment horizontal="centerContinuous"/>
    </xf>
    <xf numFmtId="37" fontId="4" fillId="2" borderId="9" xfId="9" applyNumberFormat="1" applyFont="1" applyBorder="1"/>
    <xf numFmtId="37" fontId="4" fillId="2" borderId="10" xfId="9" applyNumberFormat="1" applyFont="1" applyBorder="1"/>
    <xf numFmtId="37" fontId="4" fillId="2" borderId="7" xfId="9" applyNumberFormat="1" applyFont="1" applyBorder="1"/>
    <xf numFmtId="37" fontId="4" fillId="2" borderId="7" xfId="9" applyNumberFormat="1" applyFont="1" applyBorder="1" applyAlignment="1">
      <alignment horizontal="centerContinuous"/>
    </xf>
    <xf numFmtId="37" fontId="4" fillId="2" borderId="8" xfId="9" applyNumberFormat="1" applyFont="1" applyBorder="1" applyAlignment="1">
      <alignment horizontal="centerContinuous"/>
    </xf>
    <xf numFmtId="37" fontId="4" fillId="2" borderId="8" xfId="9" applyNumberFormat="1" applyFont="1" applyBorder="1" applyAlignment="1">
      <alignment horizontal="center"/>
    </xf>
    <xf numFmtId="37" fontId="4" fillId="2" borderId="16" xfId="9" applyNumberFormat="1" applyFont="1" applyBorder="1" applyAlignment="1">
      <alignment horizontal="centerContinuous"/>
    </xf>
    <xf numFmtId="37" fontId="4" fillId="2" borderId="15" xfId="9" applyNumberFormat="1" applyFont="1" applyBorder="1" applyAlignment="1">
      <alignment horizontal="centerContinuous"/>
    </xf>
    <xf numFmtId="37" fontId="4" fillId="2" borderId="4" xfId="9" applyNumberFormat="1" applyFont="1" applyBorder="1" applyAlignment="1">
      <alignment horizontal="centerContinuous"/>
    </xf>
    <xf numFmtId="37" fontId="4" fillId="2" borderId="0" xfId="9" applyNumberFormat="1" applyFont="1" applyAlignment="1">
      <alignment horizontal="centerContinuous"/>
    </xf>
    <xf numFmtId="37" fontId="4" fillId="2" borderId="4" xfId="9" applyNumberFormat="1" applyFont="1" applyBorder="1" applyAlignment="1">
      <alignment horizontal="center"/>
    </xf>
    <xf numFmtId="37" fontId="4" fillId="2" borderId="33" xfId="9" applyNumberFormat="1" applyFont="1" applyBorder="1" applyAlignment="1">
      <alignment horizontal="center"/>
    </xf>
    <xf numFmtId="37" fontId="4" fillId="2" borderId="11" xfId="9" applyNumberFormat="1" applyFont="1" applyBorder="1"/>
    <xf numFmtId="37" fontId="4" fillId="2" borderId="16" xfId="9" applyNumberFormat="1" applyFont="1" applyBorder="1"/>
    <xf numFmtId="37" fontId="4" fillId="2" borderId="16" xfId="9" applyNumberFormat="1" applyFont="1" applyBorder="1" applyAlignment="1">
      <alignment horizontal="center"/>
    </xf>
    <xf numFmtId="0" fontId="6" fillId="2" borderId="9" xfId="8" applyFont="1" applyBorder="1"/>
    <xf numFmtId="0" fontId="6" fillId="2" borderId="0" xfId="8" applyFont="1"/>
    <xf numFmtId="0" fontId="6" fillId="0" borderId="9" xfId="8" applyFont="1" applyFill="1" applyBorder="1"/>
    <xf numFmtId="0" fontId="6" fillId="0" borderId="0" xfId="8" applyFont="1" applyFill="1"/>
    <xf numFmtId="37" fontId="7" fillId="2" borderId="29" xfId="9" applyNumberFormat="1" applyFont="1" applyBorder="1"/>
    <xf numFmtId="37" fontId="7" fillId="2" borderId="11" xfId="9" applyNumberFormat="1" applyFont="1" applyBorder="1"/>
    <xf numFmtId="37" fontId="7" fillId="2" borderId="30" xfId="9" applyNumberFormat="1" applyFont="1" applyBorder="1"/>
    <xf numFmtId="37" fontId="4" fillId="0" borderId="0" xfId="9" applyNumberFormat="1" applyFont="1" applyFill="1"/>
    <xf numFmtId="37" fontId="7" fillId="0" borderId="11" xfId="9" applyNumberFormat="1" applyFont="1" applyFill="1" applyBorder="1"/>
    <xf numFmtId="37" fontId="7" fillId="0" borderId="30" xfId="9" applyNumberFormat="1" applyFont="1" applyFill="1" applyBorder="1"/>
    <xf numFmtId="37" fontId="7" fillId="0" borderId="29" xfId="9" applyNumberFormat="1" applyFont="1" applyFill="1" applyBorder="1"/>
    <xf numFmtId="0" fontId="6" fillId="2" borderId="9" xfId="8" applyFont="1" applyBorder="1" applyAlignment="1">
      <alignment horizontal="left"/>
    </xf>
    <xf numFmtId="0" fontId="6" fillId="2" borderId="0" xfId="8" applyFont="1" applyAlignment="1">
      <alignment horizontal="left"/>
    </xf>
    <xf numFmtId="37" fontId="5" fillId="2" borderId="29" xfId="9" applyNumberFormat="1" applyFont="1" applyBorder="1"/>
    <xf numFmtId="0" fontId="6" fillId="2" borderId="9" xfId="9" applyFont="1" applyBorder="1"/>
    <xf numFmtId="0" fontId="6" fillId="2" borderId="0" xfId="9" applyFont="1"/>
    <xf numFmtId="0" fontId="6" fillId="0" borderId="9" xfId="9" applyFont="1" applyFill="1" applyBorder="1"/>
    <xf numFmtId="37" fontId="5" fillId="0" borderId="29" xfId="9" applyNumberFormat="1" applyFont="1" applyFill="1" applyBorder="1"/>
    <xf numFmtId="0" fontId="22" fillId="0" borderId="10" xfId="7" applyBorder="1"/>
    <xf numFmtId="37" fontId="5" fillId="0" borderId="11" xfId="9" applyNumberFormat="1" applyFont="1" applyFill="1" applyBorder="1"/>
    <xf numFmtId="37" fontId="4" fillId="2" borderId="12" xfId="9" applyNumberFormat="1" applyFont="1" applyBorder="1" applyAlignment="1">
      <alignment horizontal="left"/>
    </xf>
    <xf numFmtId="0" fontId="5" fillId="2" borderId="13" xfId="9" applyFont="1" applyBorder="1"/>
    <xf numFmtId="37" fontId="5" fillId="2" borderId="34" xfId="9" applyNumberFormat="1" applyFont="1" applyBorder="1"/>
    <xf numFmtId="37" fontId="5" fillId="2" borderId="0" xfId="9" applyNumberFormat="1" applyFont="1"/>
    <xf numFmtId="167" fontId="7" fillId="2" borderId="5" xfId="9" applyNumberFormat="1" applyFont="1" applyBorder="1" applyAlignment="1">
      <alignment horizontal="right"/>
    </xf>
    <xf numFmtId="37" fontId="7" fillId="2" borderId="0" xfId="10" applyNumberFormat="1" applyFont="1" applyAlignment="1">
      <alignment horizontal="centerContinuous"/>
    </xf>
    <xf numFmtId="37" fontId="4" fillId="2" borderId="10" xfId="10" applyNumberFormat="1" applyFont="1" applyBorder="1" applyAlignment="1">
      <alignment horizontal="center"/>
    </xf>
    <xf numFmtId="0" fontId="15" fillId="0" borderId="0" xfId="10" applyFont="1" applyFill="1" applyAlignment="1">
      <alignment horizontal="center" vertical="center" wrapText="1"/>
    </xf>
    <xf numFmtId="37" fontId="4" fillId="2" borderId="9" xfId="10" applyNumberFormat="1" applyFont="1" applyBorder="1"/>
    <xf numFmtId="37" fontId="4" fillId="2" borderId="14" xfId="10" applyNumberFormat="1" applyFont="1" applyBorder="1"/>
    <xf numFmtId="37" fontId="4" fillId="2" borderId="11" xfId="10" applyNumberFormat="1" applyFont="1" applyBorder="1" applyAlignment="1">
      <alignment horizontal="center"/>
    </xf>
    <xf numFmtId="37" fontId="7" fillId="0" borderId="8" xfId="10" applyNumberFormat="1" applyFont="1" applyFill="1" applyBorder="1"/>
    <xf numFmtId="37" fontId="7" fillId="0" borderId="7" xfId="10" applyNumberFormat="1" applyFont="1" applyFill="1" applyBorder="1"/>
    <xf numFmtId="37" fontId="7" fillId="0" borderId="33" xfId="10" applyNumberFormat="1" applyFont="1" applyFill="1" applyBorder="1"/>
    <xf numFmtId="37" fontId="7" fillId="0" borderId="9" xfId="10" applyNumberFormat="1" applyFont="1" applyFill="1" applyBorder="1"/>
    <xf numFmtId="37" fontId="7" fillId="0" borderId="0" xfId="10" applyNumberFormat="1" applyFont="1" applyFill="1"/>
    <xf numFmtId="37" fontId="7" fillId="0" borderId="26" xfId="10" applyNumberFormat="1" applyFont="1" applyFill="1" applyBorder="1"/>
    <xf numFmtId="37" fontId="7" fillId="2" borderId="35" xfId="10" applyNumberFormat="1" applyFont="1" applyBorder="1"/>
    <xf numFmtId="0" fontId="5" fillId="0" borderId="9" xfId="7" applyFont="1" applyBorder="1"/>
    <xf numFmtId="0" fontId="5" fillId="0" borderId="21" xfId="7" applyFont="1" applyBorder="1"/>
    <xf numFmtId="37" fontId="5" fillId="2" borderId="26" xfId="10" applyNumberFormat="1" applyFont="1" applyBorder="1"/>
    <xf numFmtId="37" fontId="7" fillId="2" borderId="4" xfId="10" applyNumberFormat="1" applyFont="1" applyBorder="1"/>
    <xf numFmtId="37" fontId="7" fillId="2" borderId="10" xfId="10" applyNumberFormat="1" applyFont="1" applyBorder="1"/>
    <xf numFmtId="37" fontId="7" fillId="2" borderId="16" xfId="10" applyNumberFormat="1" applyFont="1" applyBorder="1"/>
    <xf numFmtId="38" fontId="7" fillId="2" borderId="4" xfId="10" applyNumberFormat="1" applyFont="1" applyBorder="1"/>
    <xf numFmtId="38" fontId="7" fillId="2" borderId="10" xfId="10" applyNumberFormat="1" applyFont="1" applyBorder="1"/>
    <xf numFmtId="0" fontId="5" fillId="0" borderId="4" xfId="7" applyFont="1" applyBorder="1"/>
    <xf numFmtId="37" fontId="7" fillId="0" borderId="16" xfId="10" applyNumberFormat="1" applyFont="1" applyFill="1" applyBorder="1"/>
    <xf numFmtId="37" fontId="7" fillId="0" borderId="15" xfId="10" applyNumberFormat="1" applyFont="1" applyFill="1" applyBorder="1"/>
    <xf numFmtId="37" fontId="7" fillId="0" borderId="19" xfId="10" applyNumberFormat="1" applyFont="1" applyFill="1" applyBorder="1" applyAlignment="1">
      <alignment horizontal="left"/>
    </xf>
    <xf numFmtId="0" fontId="22" fillId="0" borderId="7" xfId="7" applyBorder="1"/>
    <xf numFmtId="37" fontId="7" fillId="0" borderId="36" xfId="10" applyNumberFormat="1" applyFont="1" applyFill="1" applyBorder="1"/>
    <xf numFmtId="37" fontId="7" fillId="2" borderId="0" xfId="10" applyNumberFormat="1" applyFont="1"/>
    <xf numFmtId="37" fontId="7" fillId="0" borderId="4" xfId="10" applyNumberFormat="1" applyFont="1" applyFill="1" applyBorder="1"/>
    <xf numFmtId="37" fontId="7" fillId="0" borderId="37" xfId="10" applyNumberFormat="1" applyFont="1" applyFill="1" applyBorder="1"/>
    <xf numFmtId="37" fontId="7" fillId="2" borderId="16" xfId="10" applyNumberFormat="1" applyFont="1" applyBorder="1" applyAlignment="1">
      <alignment horizontal="left"/>
    </xf>
    <xf numFmtId="37" fontId="7" fillId="2" borderId="14" xfId="10" applyNumberFormat="1" applyFont="1" applyBorder="1" applyAlignment="1">
      <alignment horizontal="left"/>
    </xf>
    <xf numFmtId="0" fontId="22" fillId="0" borderId="15" xfId="7" applyBorder="1"/>
    <xf numFmtId="37" fontId="7" fillId="0" borderId="38" xfId="10" applyNumberFormat="1" applyFont="1" applyFill="1" applyBorder="1"/>
    <xf numFmtId="37" fontId="4" fillId="0" borderId="29" xfId="10" applyNumberFormat="1" applyFont="1" applyFill="1" applyBorder="1" applyAlignment="1">
      <alignment horizontal="center" wrapText="1"/>
    </xf>
    <xf numFmtId="37" fontId="4" fillId="0" borderId="29" xfId="10" applyNumberFormat="1" applyFont="1" applyFill="1" applyBorder="1" applyAlignment="1">
      <alignment horizontal="center"/>
    </xf>
    <xf numFmtId="37" fontId="7" fillId="2" borderId="14" xfId="10" applyNumberFormat="1" applyFont="1" applyBorder="1"/>
    <xf numFmtId="37" fontId="7" fillId="2" borderId="15" xfId="10" applyNumberFormat="1" applyFont="1" applyBorder="1"/>
    <xf numFmtId="0" fontId="5" fillId="0" borderId="29" xfId="7" applyFont="1" applyBorder="1"/>
    <xf numFmtId="37" fontId="7" fillId="2" borderId="30" xfId="10" applyNumberFormat="1" applyFont="1" applyBorder="1" applyAlignment="1">
      <alignment horizontal="right"/>
    </xf>
    <xf numFmtId="168" fontId="7" fillId="0" borderId="15" xfId="10" applyNumberFormat="1" applyFont="1" applyFill="1" applyBorder="1" applyAlignment="1">
      <alignment horizontal="center"/>
    </xf>
    <xf numFmtId="37" fontId="7" fillId="2" borderId="14" xfId="10" applyNumberFormat="1" applyFont="1" applyBorder="1" applyAlignment="1">
      <alignment horizontal="right"/>
    </xf>
    <xf numFmtId="37" fontId="7" fillId="2" borderId="4" xfId="10" applyNumberFormat="1" applyFont="1" applyBorder="1" applyAlignment="1">
      <alignment horizontal="left"/>
    </xf>
    <xf numFmtId="37" fontId="7" fillId="2" borderId="0" xfId="10" applyNumberFormat="1" applyFont="1" applyAlignment="1">
      <alignment horizontal="right"/>
    </xf>
    <xf numFmtId="37" fontId="7" fillId="2" borderId="17" xfId="10" applyNumberFormat="1" applyFont="1" applyBorder="1" applyAlignment="1">
      <alignment horizontal="right"/>
    </xf>
    <xf numFmtId="0" fontId="5" fillId="2" borderId="0" xfId="10" applyFont="1" applyAlignment="1">
      <alignment horizontal="right"/>
    </xf>
    <xf numFmtId="0" fontId="5" fillId="2" borderId="10" xfId="10" applyFont="1" applyBorder="1" applyAlignment="1">
      <alignment horizontal="center"/>
    </xf>
    <xf numFmtId="0" fontId="5" fillId="2" borderId="15" xfId="10" applyFont="1" applyBorder="1" applyAlignment="1">
      <alignment horizontal="center"/>
    </xf>
    <xf numFmtId="0" fontId="5" fillId="0" borderId="26" xfId="7" applyFont="1" applyBorder="1"/>
    <xf numFmtId="0" fontId="5" fillId="2" borderId="23" xfId="10" applyFont="1" applyBorder="1" applyAlignment="1">
      <alignment horizontal="right"/>
    </xf>
    <xf numFmtId="168" fontId="7" fillId="2" borderId="18" xfId="10" applyNumberFormat="1" applyFont="1" applyBorder="1" applyAlignment="1">
      <alignment horizontal="center"/>
    </xf>
    <xf numFmtId="37" fontId="7" fillId="2" borderId="22" xfId="10" applyNumberFormat="1" applyFont="1" applyBorder="1" applyAlignment="1">
      <alignment horizontal="left"/>
    </xf>
    <xf numFmtId="0" fontId="5" fillId="2" borderId="2" xfId="10" applyFont="1" applyBorder="1"/>
    <xf numFmtId="168" fontId="7" fillId="2" borderId="13" xfId="10" applyNumberFormat="1" applyFont="1" applyBorder="1" applyAlignment="1">
      <alignment horizontal="center"/>
    </xf>
    <xf numFmtId="37" fontId="4" fillId="2" borderId="4" xfId="9" applyNumberFormat="1" applyFont="1" applyBorder="1" applyAlignment="1">
      <alignment horizontal="center" vertical="center"/>
    </xf>
    <xf numFmtId="37" fontId="4" fillId="2" borderId="16" xfId="9" applyNumberFormat="1" applyFont="1" applyBorder="1" applyAlignment="1">
      <alignment horizontal="center" vertical="center"/>
    </xf>
    <xf numFmtId="0" fontId="22" fillId="0" borderId="0" xfId="7" applyAlignment="1">
      <alignment horizontal="left" vertical="center" wrapText="1"/>
    </xf>
    <xf numFmtId="0" fontId="22" fillId="0" borderId="2" xfId="7" applyBorder="1" applyAlignment="1" applyProtection="1">
      <alignment horizontal="center"/>
      <protection locked="0"/>
    </xf>
    <xf numFmtId="0" fontId="6" fillId="2" borderId="2" xfId="9" applyFont="1" applyBorder="1" applyAlignment="1" applyProtection="1">
      <alignment horizontal="center"/>
      <protection locked="0"/>
    </xf>
    <xf numFmtId="0" fontId="6" fillId="0" borderId="0" xfId="0" applyFont="1" applyAlignment="1">
      <alignment horizontal="left"/>
    </xf>
    <xf numFmtId="49" fontId="5" fillId="2" borderId="2" xfId="9" applyNumberFormat="1" applyFont="1" applyBorder="1" applyAlignment="1">
      <alignment horizontal="center"/>
    </xf>
    <xf numFmtId="0" fontId="5" fillId="0" borderId="2" xfId="7" applyFont="1" applyBorder="1" applyAlignment="1">
      <alignment horizontal="center" wrapText="1"/>
    </xf>
    <xf numFmtId="37" fontId="4" fillId="2" borderId="5" xfId="9" applyNumberFormat="1" applyFont="1" applyBorder="1" applyAlignment="1">
      <alignment horizontal="center"/>
    </xf>
    <xf numFmtId="38" fontId="5" fillId="0" borderId="14" xfId="0" applyNumberFormat="1" applyFont="1" applyBorder="1"/>
    <xf numFmtId="38" fontId="5" fillId="0" borderId="15" xfId="0" applyNumberFormat="1" applyFont="1" applyBorder="1"/>
    <xf numFmtId="38" fontId="5" fillId="0" borderId="17" xfId="0" applyNumberFormat="1" applyFont="1" applyBorder="1"/>
    <xf numFmtId="38" fontId="5" fillId="0" borderId="18" xfId="0" applyNumberFormat="1" applyFont="1" applyBorder="1"/>
    <xf numFmtId="37" fontId="5" fillId="0" borderId="17" xfId="0" applyNumberFormat="1" applyFont="1" applyBorder="1"/>
    <xf numFmtId="37" fontId="5" fillId="0" borderId="18" xfId="0" applyNumberFormat="1" applyFont="1" applyBorder="1"/>
    <xf numFmtId="0" fontId="22" fillId="0" borderId="1" xfId="7" applyBorder="1" applyAlignment="1" applyProtection="1">
      <alignment horizontal="center"/>
      <protection locked="0"/>
    </xf>
    <xf numFmtId="0" fontId="22" fillId="0" borderId="0" xfId="7" applyAlignment="1">
      <alignment vertical="center" wrapText="1"/>
    </xf>
    <xf numFmtId="0" fontId="6" fillId="0" borderId="0" xfId="7" applyFont="1"/>
    <xf numFmtId="0" fontId="5" fillId="2" borderId="2" xfId="9" applyFont="1" applyBorder="1" applyAlignment="1" applyProtection="1">
      <alignment horizontal="center"/>
      <protection locked="0"/>
    </xf>
    <xf numFmtId="0" fontId="22" fillId="0" borderId="0" xfId="7" applyAlignment="1">
      <alignment vertical="top" wrapText="1"/>
    </xf>
    <xf numFmtId="0" fontId="22" fillId="0" borderId="0" xfId="7" applyAlignment="1">
      <alignment horizontal="left"/>
    </xf>
    <xf numFmtId="0" fontId="22" fillId="0" borderId="23" xfId="7" applyBorder="1" applyAlignment="1" applyProtection="1">
      <alignment horizontal="left" vertical="top" wrapText="1"/>
      <protection locked="0"/>
    </xf>
    <xf numFmtId="0" fontId="22" fillId="0" borderId="1" xfId="7" applyBorder="1" applyAlignment="1" applyProtection="1">
      <alignment horizontal="left" vertical="top" wrapText="1"/>
      <protection locked="0"/>
    </xf>
    <xf numFmtId="0" fontId="22" fillId="0" borderId="39" xfId="7" applyBorder="1" applyAlignment="1" applyProtection="1">
      <alignment horizontal="left" vertical="top" wrapText="1"/>
      <protection locked="0"/>
    </xf>
    <xf numFmtId="37" fontId="4" fillId="2" borderId="0" xfId="9" applyNumberFormat="1" applyFont="1" applyAlignment="1">
      <alignment horizontal="center"/>
    </xf>
    <xf numFmtId="0" fontId="22" fillId="0" borderId="2" xfId="7" applyBorder="1" applyAlignment="1" applyProtection="1">
      <alignment horizontal="left"/>
      <protection locked="0"/>
    </xf>
    <xf numFmtId="0" fontId="22" fillId="0" borderId="1" xfId="7" applyBorder="1" applyAlignment="1" applyProtection="1">
      <alignment horizontal="left"/>
      <protection locked="0"/>
    </xf>
    <xf numFmtId="14" fontId="22" fillId="0" borderId="2" xfId="7" applyNumberFormat="1" applyBorder="1" applyAlignment="1" applyProtection="1">
      <alignment horizontal="center"/>
      <protection locked="0"/>
    </xf>
    <xf numFmtId="164" fontId="22" fillId="0" borderId="2" xfId="7" applyNumberFormat="1" applyBorder="1" applyAlignment="1" applyProtection="1">
      <alignment horizontal="center"/>
      <protection locked="0"/>
    </xf>
    <xf numFmtId="0" fontId="22" fillId="0" borderId="0" xfId="7" applyAlignment="1">
      <alignment horizontal="center"/>
    </xf>
    <xf numFmtId="0" fontId="6" fillId="0" borderId="2" xfId="9" applyFont="1" applyFill="1" applyBorder="1" applyAlignment="1" applyProtection="1">
      <alignment horizontal="center"/>
      <protection locked="0"/>
    </xf>
    <xf numFmtId="37" fontId="7" fillId="2" borderId="33" xfId="9" applyNumberFormat="1" applyFont="1" applyBorder="1"/>
    <xf numFmtId="0" fontId="10" fillId="2" borderId="11" xfId="7" applyFont="1" applyFill="1" applyBorder="1"/>
    <xf numFmtId="37" fontId="7" fillId="0" borderId="33" xfId="9" applyNumberFormat="1" applyFont="1" applyFill="1" applyBorder="1"/>
    <xf numFmtId="0" fontId="22" fillId="0" borderId="11" xfId="7" applyBorder="1"/>
    <xf numFmtId="37" fontId="7" fillId="2" borderId="30" xfId="9" applyNumberFormat="1" applyFont="1" applyBorder="1"/>
    <xf numFmtId="37" fontId="7" fillId="2" borderId="18" xfId="9" applyNumberFormat="1" applyFont="1" applyBorder="1"/>
    <xf numFmtId="37" fontId="7" fillId="2" borderId="8" xfId="9" applyNumberFormat="1" applyFont="1" applyBorder="1"/>
    <xf numFmtId="37" fontId="7" fillId="2" borderId="7" xfId="9" applyNumberFormat="1" applyFont="1" applyBorder="1"/>
    <xf numFmtId="37" fontId="7" fillId="2" borderId="16" xfId="9" applyNumberFormat="1" applyFont="1" applyBorder="1"/>
    <xf numFmtId="37" fontId="7" fillId="2" borderId="15" xfId="9" applyNumberFormat="1" applyFont="1" applyBorder="1"/>
    <xf numFmtId="166" fontId="7" fillId="2" borderId="40" xfId="9" applyNumberFormat="1" applyFont="1" applyBorder="1"/>
    <xf numFmtId="166" fontId="7" fillId="2" borderId="41" xfId="9" applyNumberFormat="1" applyFont="1" applyBorder="1"/>
    <xf numFmtId="166" fontId="7" fillId="2" borderId="42" xfId="9" applyNumberFormat="1" applyFont="1" applyBorder="1"/>
    <xf numFmtId="37" fontId="7" fillId="2" borderId="11" xfId="9" applyNumberFormat="1" applyFont="1" applyBorder="1"/>
    <xf numFmtId="0" fontId="6" fillId="2" borderId="30" xfId="10" applyFont="1" applyBorder="1" applyAlignment="1">
      <alignment horizontal="center"/>
    </xf>
    <xf numFmtId="0" fontId="6" fillId="2" borderId="17" xfId="10" applyFont="1" applyBorder="1" applyAlignment="1">
      <alignment horizontal="center"/>
    </xf>
    <xf numFmtId="0" fontId="6" fillId="2" borderId="18" xfId="10" applyFont="1" applyBorder="1" applyAlignment="1">
      <alignment horizontal="center"/>
    </xf>
    <xf numFmtId="37" fontId="4" fillId="2" borderId="8" xfId="9" applyNumberFormat="1" applyFont="1" applyBorder="1" applyAlignment="1">
      <alignment horizontal="center"/>
    </xf>
    <xf numFmtId="37" fontId="4" fillId="2" borderId="7" xfId="9" applyNumberFormat="1" applyFont="1" applyBorder="1" applyAlignment="1">
      <alignment horizontal="center"/>
    </xf>
    <xf numFmtId="167" fontId="7" fillId="0" borderId="30" xfId="10" applyNumberFormat="1" applyFont="1" applyFill="1" applyBorder="1"/>
    <xf numFmtId="167" fontId="7" fillId="0" borderId="18" xfId="10" applyNumberFormat="1" applyFont="1" applyFill="1" applyBorder="1"/>
    <xf numFmtId="37" fontId="11" fillId="2" borderId="0" xfId="9" applyNumberFormat="1" applyFont="1" applyAlignment="1">
      <alignment horizontal="left" vertical="center"/>
    </xf>
    <xf numFmtId="0" fontId="22" fillId="0" borderId="0" xfId="7"/>
    <xf numFmtId="37" fontId="11" fillId="2" borderId="2" xfId="9" applyNumberFormat="1" applyFont="1" applyBorder="1" applyAlignment="1">
      <alignment horizontal="left" vertical="center"/>
    </xf>
    <xf numFmtId="0" fontId="22" fillId="0" borderId="2" xfId="7" applyBorder="1"/>
    <xf numFmtId="37" fontId="5" fillId="0" borderId="33" xfId="9" applyNumberFormat="1" applyFont="1" applyFill="1" applyBorder="1"/>
    <xf numFmtId="37" fontId="5" fillId="0" borderId="11" xfId="9" applyNumberFormat="1" applyFont="1" applyFill="1" applyBorder="1"/>
    <xf numFmtId="37" fontId="4" fillId="2" borderId="9" xfId="9" applyNumberFormat="1" applyFont="1" applyBorder="1" applyAlignment="1">
      <alignment horizontal="left" vertical="center" wrapText="1"/>
    </xf>
    <xf numFmtId="37" fontId="4" fillId="2" borderId="0" xfId="9" applyNumberFormat="1" applyFont="1" applyAlignment="1">
      <alignment horizontal="left" vertical="center" wrapText="1"/>
    </xf>
    <xf numFmtId="37" fontId="4" fillId="2" borderId="10" xfId="9" applyNumberFormat="1" applyFont="1" applyBorder="1" applyAlignment="1">
      <alignment horizontal="left" vertical="center" wrapText="1"/>
    </xf>
    <xf numFmtId="166" fontId="7" fillId="2" borderId="24" xfId="9" applyNumberFormat="1" applyFont="1" applyBorder="1"/>
    <xf numFmtId="166" fontId="7" fillId="2" borderId="43" xfId="9" applyNumberFormat="1" applyFont="1" applyBorder="1"/>
    <xf numFmtId="166" fontId="7" fillId="2" borderId="44" xfId="9" applyNumberFormat="1" applyFont="1" applyBorder="1"/>
    <xf numFmtId="166" fontId="7" fillId="2" borderId="45" xfId="9" applyNumberFormat="1" applyFont="1" applyBorder="1"/>
    <xf numFmtId="166" fontId="7" fillId="2" borderId="25" xfId="9" applyNumberFormat="1" applyFont="1" applyBorder="1"/>
    <xf numFmtId="166" fontId="7" fillId="2" borderId="46" xfId="9" applyNumberFormat="1" applyFont="1" applyBorder="1"/>
    <xf numFmtId="0" fontId="5" fillId="2" borderId="4" xfId="9" applyFont="1" applyBorder="1" applyAlignment="1">
      <alignment horizontal="left" wrapText="1"/>
    </xf>
    <xf numFmtId="0" fontId="5" fillId="2" borderId="0" xfId="9" applyFont="1" applyAlignment="1">
      <alignment horizontal="left" wrapText="1"/>
    </xf>
    <xf numFmtId="0" fontId="5" fillId="2" borderId="10" xfId="9" applyFont="1" applyBorder="1" applyAlignment="1">
      <alignment horizontal="left" wrapText="1"/>
    </xf>
    <xf numFmtId="0" fontId="5" fillId="2" borderId="16" xfId="9" applyFont="1" applyBorder="1" applyAlignment="1">
      <alignment horizontal="left" wrapText="1"/>
    </xf>
    <xf numFmtId="0" fontId="5" fillId="2" borderId="14" xfId="9" applyFont="1" applyBorder="1" applyAlignment="1">
      <alignment horizontal="left" wrapText="1"/>
    </xf>
    <xf numFmtId="0" fontId="5" fillId="2" borderId="15" xfId="9" applyFont="1" applyBorder="1" applyAlignment="1">
      <alignment horizontal="left" wrapText="1"/>
    </xf>
    <xf numFmtId="0" fontId="5" fillId="0" borderId="3" xfId="7" applyFont="1" applyBorder="1" applyAlignment="1">
      <alignment horizontal="left" vertical="top" wrapText="1"/>
    </xf>
    <xf numFmtId="0" fontId="5" fillId="0" borderId="5" xfId="7" applyFont="1" applyBorder="1" applyAlignment="1">
      <alignment horizontal="left" vertical="top" wrapText="1"/>
    </xf>
    <xf numFmtId="0" fontId="5" fillId="0" borderId="27" xfId="7" applyFont="1" applyBorder="1" applyAlignment="1">
      <alignment horizontal="left" vertical="top" wrapText="1"/>
    </xf>
    <xf numFmtId="0" fontId="5" fillId="0" borderId="9" xfId="7" applyFont="1" applyBorder="1" applyAlignment="1">
      <alignment horizontal="left" vertical="top" wrapText="1"/>
    </xf>
    <xf numFmtId="0" fontId="5" fillId="0" borderId="0" xfId="7" applyFont="1" applyAlignment="1">
      <alignment horizontal="left" vertical="top" wrapText="1"/>
    </xf>
    <xf numFmtId="0" fontId="5" fillId="0" borderId="21" xfId="7" applyFont="1" applyBorder="1" applyAlignment="1">
      <alignment horizontal="left" vertical="top" wrapText="1"/>
    </xf>
    <xf numFmtId="0" fontId="5" fillId="0" borderId="12" xfId="7" applyFont="1" applyBorder="1" applyAlignment="1">
      <alignment horizontal="left" vertical="top" wrapText="1"/>
    </xf>
    <xf numFmtId="0" fontId="5" fillId="0" borderId="2" xfId="7" applyFont="1" applyBorder="1" applyAlignment="1">
      <alignment horizontal="left" vertical="top" wrapText="1"/>
    </xf>
    <xf numFmtId="0" fontId="5" fillId="0" borderId="28" xfId="7" applyFont="1" applyBorder="1" applyAlignment="1">
      <alignment horizontal="left" vertical="top" wrapText="1"/>
    </xf>
    <xf numFmtId="167" fontId="7" fillId="2" borderId="30" xfId="9" applyNumberFormat="1" applyFont="1" applyBorder="1" applyAlignment="1">
      <alignment horizontal="right"/>
    </xf>
    <xf numFmtId="167" fontId="7" fillId="2" borderId="47" xfId="9" applyNumberFormat="1" applyFont="1" applyBorder="1" applyAlignment="1">
      <alignment horizontal="right"/>
    </xf>
    <xf numFmtId="167" fontId="7" fillId="2" borderId="8" xfId="9" applyNumberFormat="1" applyFont="1" applyBorder="1" applyAlignment="1">
      <alignment horizontal="right"/>
    </xf>
    <xf numFmtId="167" fontId="7" fillId="2" borderId="48" xfId="9" applyNumberFormat="1" applyFont="1" applyBorder="1" applyAlignment="1">
      <alignment horizontal="right"/>
    </xf>
    <xf numFmtId="167" fontId="7" fillId="2" borderId="16" xfId="9" applyNumberFormat="1" applyFont="1" applyBorder="1" applyAlignment="1">
      <alignment horizontal="right"/>
    </xf>
    <xf numFmtId="167" fontId="7" fillId="2" borderId="49" xfId="9" applyNumberFormat="1" applyFont="1" applyBorder="1" applyAlignment="1">
      <alignment horizontal="right"/>
    </xf>
    <xf numFmtId="37" fontId="7" fillId="0" borderId="30" xfId="9" applyNumberFormat="1" applyFont="1" applyFill="1" applyBorder="1"/>
    <xf numFmtId="37" fontId="7" fillId="0" borderId="18" xfId="9" applyNumberFormat="1" applyFont="1" applyFill="1" applyBorder="1"/>
    <xf numFmtId="167" fontId="7" fillId="2" borderId="30" xfId="10" applyNumberFormat="1" applyFont="1" applyBorder="1"/>
    <xf numFmtId="167" fontId="7" fillId="2" borderId="18" xfId="10" applyNumberFormat="1" applyFont="1" applyBorder="1"/>
    <xf numFmtId="9" fontId="5" fillId="0" borderId="17" xfId="1" applyFont="1" applyFill="1" applyBorder="1" applyProtection="1"/>
    <xf numFmtId="9" fontId="5" fillId="0" borderId="18" xfId="1" applyFont="1" applyFill="1" applyBorder="1" applyProtection="1"/>
    <xf numFmtId="0" fontId="6" fillId="0" borderId="2" xfId="7" applyFont="1" applyBorder="1" applyAlignment="1" applyProtection="1">
      <alignment horizontal="center"/>
      <protection locked="0"/>
    </xf>
    <xf numFmtId="167" fontId="7" fillId="2" borderId="18" xfId="9" applyNumberFormat="1" applyFont="1" applyBorder="1" applyAlignment="1">
      <alignment horizontal="right"/>
    </xf>
    <xf numFmtId="37" fontId="4" fillId="2" borderId="48" xfId="9" applyNumberFormat="1" applyFont="1" applyBorder="1" applyAlignment="1">
      <alignment horizontal="center"/>
    </xf>
    <xf numFmtId="37" fontId="4" fillId="2" borderId="4" xfId="9" applyNumberFormat="1" applyFont="1" applyBorder="1" applyAlignment="1">
      <alignment horizontal="center"/>
    </xf>
    <xf numFmtId="37" fontId="4" fillId="2" borderId="21" xfId="9" applyNumberFormat="1" applyFont="1" applyBorder="1" applyAlignment="1">
      <alignment horizontal="center"/>
    </xf>
    <xf numFmtId="37" fontId="4" fillId="2" borderId="16" xfId="9" applyNumberFormat="1" applyFont="1" applyBorder="1" applyAlignment="1">
      <alignment horizontal="center"/>
    </xf>
    <xf numFmtId="37" fontId="4" fillId="2" borderId="49" xfId="9" applyNumberFormat="1" applyFont="1" applyBorder="1" applyAlignment="1">
      <alignment horizontal="center"/>
    </xf>
    <xf numFmtId="167" fontId="7" fillId="2" borderId="7" xfId="9" applyNumberFormat="1" applyFont="1" applyBorder="1" applyAlignment="1">
      <alignment horizontal="right"/>
    </xf>
    <xf numFmtId="167" fontId="7" fillId="2" borderId="15" xfId="9" applyNumberFormat="1" applyFont="1" applyBorder="1" applyAlignment="1">
      <alignment horizontal="right"/>
    </xf>
    <xf numFmtId="37" fontId="4" fillId="2" borderId="16" xfId="9" applyNumberFormat="1" applyFont="1" applyBorder="1"/>
    <xf numFmtId="37" fontId="4" fillId="2" borderId="15" xfId="9" applyNumberFormat="1" applyFont="1" applyBorder="1"/>
    <xf numFmtId="37" fontId="5" fillId="2" borderId="30" xfId="9" applyNumberFormat="1" applyFont="1" applyBorder="1"/>
    <xf numFmtId="37" fontId="5" fillId="2" borderId="18" xfId="9" applyNumberFormat="1" applyFont="1" applyBorder="1"/>
    <xf numFmtId="37" fontId="4" fillId="2" borderId="10" xfId="10" applyNumberFormat="1" applyFont="1" applyBorder="1" applyAlignment="1">
      <alignment horizontal="center"/>
    </xf>
    <xf numFmtId="167" fontId="7" fillId="0" borderId="30" xfId="9" applyNumberFormat="1" applyFont="1" applyFill="1" applyBorder="1" applyAlignment="1">
      <alignment horizontal="right"/>
    </xf>
    <xf numFmtId="167" fontId="7" fillId="0" borderId="47" xfId="9" applyNumberFormat="1" applyFont="1" applyFill="1" applyBorder="1" applyAlignment="1">
      <alignment horizontal="right"/>
    </xf>
    <xf numFmtId="167" fontId="7" fillId="2" borderId="50" xfId="9" applyNumberFormat="1" applyFont="1" applyBorder="1" applyAlignment="1">
      <alignment horizontal="right"/>
    </xf>
    <xf numFmtId="167" fontId="7" fillId="2" borderId="51" xfId="9" applyNumberFormat="1" applyFont="1" applyBorder="1" applyAlignment="1">
      <alignment horizontal="right"/>
    </xf>
    <xf numFmtId="37" fontId="4" fillId="2" borderId="15" xfId="10" applyNumberFormat="1" applyFont="1" applyBorder="1" applyAlignment="1">
      <alignment horizontal="center"/>
    </xf>
    <xf numFmtId="37" fontId="5" fillId="2" borderId="50" xfId="9" applyNumberFormat="1" applyFont="1" applyBorder="1"/>
    <xf numFmtId="37" fontId="5" fillId="2" borderId="52" xfId="9" applyNumberFormat="1" applyFont="1" applyBorder="1"/>
    <xf numFmtId="0" fontId="0" fillId="0" borderId="0" xfId="0"/>
    <xf numFmtId="37" fontId="7" fillId="2" borderId="26" xfId="10" applyNumberFormat="1" applyFont="1" applyBorder="1" applyAlignment="1">
      <alignment horizontal="right"/>
    </xf>
    <xf numFmtId="37" fontId="7" fillId="2" borderId="29" xfId="10" applyNumberFormat="1" applyFont="1" applyBorder="1" applyAlignment="1">
      <alignment horizontal="right"/>
    </xf>
    <xf numFmtId="37" fontId="4" fillId="2" borderId="30" xfId="10" applyNumberFormat="1" applyFont="1" applyBorder="1" applyAlignment="1">
      <alignment horizontal="center"/>
    </xf>
    <xf numFmtId="37" fontId="4" fillId="2" borderId="17" xfId="10" applyNumberFormat="1" applyFont="1" applyBorder="1" applyAlignment="1">
      <alignment horizontal="center"/>
    </xf>
    <xf numFmtId="37" fontId="4" fillId="2" borderId="18" xfId="10" applyNumberFormat="1" applyFont="1" applyBorder="1" applyAlignment="1">
      <alignment horizontal="center"/>
    </xf>
    <xf numFmtId="37" fontId="4" fillId="0" borderId="29" xfId="10" applyNumberFormat="1" applyFont="1" applyFill="1" applyBorder="1" applyAlignment="1">
      <alignment horizontal="center"/>
    </xf>
    <xf numFmtId="37" fontId="4" fillId="2" borderId="29" xfId="10" applyNumberFormat="1" applyFont="1" applyBorder="1" applyAlignment="1">
      <alignment horizontal="center"/>
    </xf>
    <xf numFmtId="37" fontId="4" fillId="2" borderId="53" xfId="10" applyNumberFormat="1" applyFont="1" applyBorder="1" applyAlignment="1">
      <alignment horizontal="center"/>
    </xf>
    <xf numFmtId="37" fontId="4" fillId="2" borderId="32" xfId="10" applyNumberFormat="1" applyFont="1" applyBorder="1" applyAlignment="1">
      <alignment horizontal="center"/>
    </xf>
    <xf numFmtId="37" fontId="4" fillId="2" borderId="54" xfId="10" applyNumberFormat="1" applyFont="1" applyBorder="1" applyAlignment="1">
      <alignment horizontal="center"/>
    </xf>
    <xf numFmtId="37" fontId="4" fillId="2" borderId="23" xfId="10" applyNumberFormat="1" applyFont="1" applyBorder="1" applyAlignment="1">
      <alignment horizontal="center"/>
    </xf>
    <xf numFmtId="37" fontId="4" fillId="2" borderId="1" xfId="10" applyNumberFormat="1" applyFont="1" applyBorder="1" applyAlignment="1">
      <alignment horizontal="center"/>
    </xf>
    <xf numFmtId="37" fontId="4" fillId="2" borderId="39" xfId="10" applyNumberFormat="1" applyFont="1" applyBorder="1" applyAlignment="1">
      <alignment horizontal="center"/>
    </xf>
    <xf numFmtId="49" fontId="6" fillId="0" borderId="2" xfId="9" applyNumberFormat="1" applyFont="1" applyFill="1" applyBorder="1" applyAlignment="1" applyProtection="1">
      <alignment horizontal="center"/>
      <protection locked="0"/>
    </xf>
    <xf numFmtId="0" fontId="0" fillId="0" borderId="2" xfId="7" applyFont="1" applyBorder="1" applyAlignment="1" applyProtection="1">
      <alignment horizontal="left"/>
      <protection locked="0"/>
    </xf>
    <xf numFmtId="0" fontId="0" fillId="0" borderId="2" xfId="7" applyFont="1" applyBorder="1" applyAlignment="1" applyProtection="1">
      <alignment horizontal="center"/>
      <protection locked="0"/>
    </xf>
    <xf numFmtId="0" fontId="0" fillId="0" borderId="1" xfId="7" applyFont="1" applyBorder="1" applyAlignment="1" applyProtection="1">
      <alignment horizontal="left"/>
      <protection locked="0"/>
    </xf>
    <xf numFmtId="0" fontId="0" fillId="0" borderId="1" xfId="7" applyFont="1" applyBorder="1" applyAlignment="1" applyProtection="1">
      <alignment horizontal="center"/>
      <protection locked="0"/>
    </xf>
  </cellXfs>
  <cellStyles count="11">
    <cellStyle name="Comma" xfId="4"/>
    <cellStyle name="Comma [0]" xfId="5"/>
    <cellStyle name="Currency" xfId="2"/>
    <cellStyle name="Currency [0]" xfId="3"/>
    <cellStyle name="Hyperlink" xfId="6"/>
    <cellStyle name="Normal" xfId="0" builtinId="0"/>
    <cellStyle name="Normal 2" xfId="7"/>
    <cellStyle name="Normal_98-99Smry" xfId="8"/>
    <cellStyle name="Normal_Summary Page 1" xfId="9"/>
    <cellStyle name="Normal_Summary Page 2" xfId="10"/>
    <cellStyle name="Percen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EXPBU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EXPB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trict Contacts"/>
      <sheetName val="Page 1"/>
      <sheetName val="Page 2"/>
      <sheetName val="Page 3"/>
      <sheetName val="Page 4"/>
      <sheetName val="Page 5"/>
      <sheetName val="Page 6"/>
      <sheetName val="Page 7"/>
      <sheetName val="Page 8"/>
      <sheetName val="Supplement"/>
      <sheetName val="Summary Page 1"/>
      <sheetName val="Summary Page 2"/>
      <sheetName val="Truth in Tax"/>
      <sheetName val="Data Entry"/>
      <sheetName val="Calculations"/>
      <sheetName val="BSA55"/>
      <sheetName val="Instructions"/>
    </sheetNames>
    <definedNames>
      <definedName name="BudgetYearADM" refersTo="='Summary Page 1'!$D$12"/>
      <definedName name="BudgetYearSalarySumm" refersTo="='Summary Page 1'!$I$10"/>
      <definedName name="ContractFTEAdmin" refersTo="='Summary Page 2'!$D$38"/>
      <definedName name="ContractFTECertOther" refersTo="='Summary Page 2'!$D$40"/>
      <definedName name="ContractFTECertSubtotal" refersTo="='Summary Page 2'!$D$41"/>
      <definedName name="ContractFTEClassOther" refersTo="='Summary Page 2'!$D$45"/>
      <definedName name="ContractFTEClassSubtotal" refersTo="='Summary Page 2'!$D$46"/>
      <definedName name="ContractFTEManagers" refersTo="='Summary Page 2'!$D$43"/>
      <definedName name="ContractFTESpecEdStaff" refersTo="='Summary Page 2'!$D$51"/>
      <definedName name="ContractFTESpecEdTeacher" refersTo="='Summary Page 2'!$D$50"/>
      <definedName name="ContractFTETeachers" refersTo="='Summary Page 2'!$D$39"/>
      <definedName name="ContractFTETeachersAids" refersTo="='Summary Page 2'!$D$44"/>
      <definedName name="ContractFTETotal" refersTo="='Summary Page 2'!$D$47"/>
      <definedName name="CSFBLBudgFYSumm" refersTo="='Summary Page 1'!$D$23"/>
      <definedName name="CSFExpBudgFYSumm" refersTo="='Summary Page 1'!$C$23"/>
      <definedName name="EmployeeFTEAdmin" refersTo="='Summary Page 2'!$E$38"/>
      <definedName name="EmployeeFTECertOther" refersTo="='Summary Page 2'!$E$40"/>
      <definedName name="EmployeeFTECertSubtotal" refersTo="='Summary Page 2'!$E$41"/>
      <definedName name="EmployeeFTEClassOther" refersTo="='Summary Page 2'!$E$45"/>
      <definedName name="EmployeeFTEClassSubtotal" refersTo="='Summary Page 2'!$E$46"/>
      <definedName name="EmployeeFTEManagers" refersTo="='Summary Page 2'!$E$43"/>
      <definedName name="EmployeeFTESpecEdStaff" refersTo="='Summary Page 2'!$E$51"/>
      <definedName name="EmployeeFTESpecEdTeacher" refersTo="='Summary Page 2'!$E$50"/>
      <definedName name="EmployeeFTETeachers" refersTo="='Summary Page 2'!$E$39"/>
      <definedName name="EmployeeFTETeachersAides" refersTo="='Summary Page 2'!$E$44"/>
      <definedName name="EmployeeFTETotal" refersTo="='Summary Page 2'!$E$47"/>
      <definedName name="EstTaxRateBudgFYSumm" refersTo="='Summary Page 1'!$D$14"/>
      <definedName name="F001P100F1000OthBudgFY" refersTo="='Summary Page 1'!$F$32"/>
      <definedName name="F001P100F1000SBBudgFY" refersTo="='Summary Page 1'!$D$32"/>
      <definedName name="F001P100F2100OthBudgFY" refersTo="='Summary Page 1'!$F$34"/>
      <definedName name="F001P100F2100SBBudgFY" refersTo="='Summary Page 1'!$D$34"/>
      <definedName name="F001P100F2200OthBudgFY" refersTo="='Summary Page 1'!$F$36"/>
      <definedName name="F001P100F2200SBBudgFY" refersTo="='Summary Page 1'!$D$36"/>
      <definedName name="F001P100F230024002500OthBudgFY" refersTo="='Summary Page 1'!$F$37"/>
      <definedName name="F001P100F230024002500SBBudgFY" refersTo="='Summary Page 1'!$D$37"/>
      <definedName name="F001P100F2600OthBudgFY" refersTo="='Summary Page 1'!$F$38"/>
      <definedName name="F001P100F2600SBBudgFY" refersTo="='Summary Page 1'!$D$38"/>
      <definedName name="F001P100F2900OthBudgFY" refersTo="='Summary Page 1'!$F$39"/>
      <definedName name="F001P100F2900SBBudgFY" refersTo="='Summary Page 1'!$D$39"/>
      <definedName name="F001P100F3000OthBudgFY" refersTo="='Summary Page 1'!$F$40"/>
      <definedName name="F001P100F3000SBBudgFY" refersTo="='Summary Page 1'!$D$40"/>
      <definedName name="F001P200F1000OthBudgFY" refersTo="='Summary Page 1'!$F$45"/>
      <definedName name="F001P200F1000SBBudgFY" refersTo="='Summary Page 1'!$D$45"/>
      <definedName name="F001P200F2100OthBudgFY" refersTo="='Summary Page 1'!$F$47"/>
      <definedName name="F001P200F2100SBBudgFY" refersTo="='Summary Page 1'!$D$47"/>
      <definedName name="F001P200F2200OthBudgFY" refersTo="='Summary Page 1'!$F$49"/>
      <definedName name="F001P200F2200SBBudgFY" refersTo="='Summary Page 1'!$D$49"/>
      <definedName name="F001P200F230024002500OthBudgFY" refersTo="='Summary Page 1'!$F$50"/>
      <definedName name="F001P200F230024002500SBBudgFY" refersTo="='Summary Page 1'!$D$50"/>
      <definedName name="F001P200F2600OthBudgFY" refersTo="='Summary Page 1'!$F$51"/>
      <definedName name="F001P200F2600SBBudgFY" refersTo="='Summary Page 1'!$D$51"/>
      <definedName name="F001P200F2900OthBudgFY" refersTo="='Summary Page 1'!$F$52"/>
      <definedName name="F001P200F2900SBBudgFY" refersTo="='Summary Page 1'!$D$52"/>
      <definedName name="F001P200F3000OthBudgFY" refersTo="='Summary Page 1'!$F$53"/>
      <definedName name="F001P200F3000SBBudgFY" refersTo="='Summary Page 1'!$D$53"/>
      <definedName name="F001P400OthBudgFy" refersTo="='Summary Page 1'!$F$55"/>
      <definedName name="F001P400SBBudgFY" refersTo="='Summary Page 1'!$D$55"/>
      <definedName name="F001P510OthBudgFY" refersTo="='Summary Page 1'!$F$56"/>
      <definedName name="F001P510SBBudgFY" refersTo="='Summary Page 1'!$D$56"/>
      <definedName name="F001P530OthBudgFY" refersTo="='Summary Page 1'!$F$57"/>
      <definedName name="F001P530SBBudgFY" refersTo="='Summary Page 1'!$D$57"/>
      <definedName name="F001P540OthBudgFY" refersTo="='Summary Page 1'!$F$58"/>
      <definedName name="F001P540SBBudgFY" refersTo="='Summary Page 1'!$D$58"/>
      <definedName name="F001P550OthBudgFY" refersTo="='Summary Page 1'!$F$60"/>
      <definedName name="F001P550SBBudgFY" refersTo="='Summary Page 1'!$D$60"/>
      <definedName name="F001P610OthBudgFY" refersTo="='Summary Page 1'!$F$41"/>
      <definedName name="F001P610SBBudgFY" refersTo="='Summary Page 1'!$D$41"/>
      <definedName name="F001P620OthBudgFY" refersTo="='Summary Page 1'!$F$42"/>
      <definedName name="F001P620SBBudgFY" refersTo="='Summary Page 1'!$D$42"/>
      <definedName name="F001P630700800900OthBudgFY" refersTo="='Summary Page 1'!$F$43"/>
      <definedName name="F001P630700800900SBBudgFY" refersTo="='Summary Page 1'!$D$43"/>
      <definedName name="F001TotalExpSumm" refersTo="='Summary Page 1'!$C$22"/>
      <definedName name="GBLBudgFYSumm" refersTo="='Summary Page 1'!$D$22"/>
      <definedName name="PercentageIncreaseSumm" refersTo="='Summary Page 1'!$I$13"/>
      <definedName name="PrimTaxRatePYSumm" refersTo="='Summary Page 1'!$C$14"/>
      <definedName name="PriorYearADM" refersTo="='Summary Page 1'!$C$12"/>
      <definedName name="PriorYearSalarySumm" refersTo="='Summary Page 1'!$I$11"/>
      <definedName name="RatioAdmin" refersTo="='Summary Page 2'!$H$38"/>
      <definedName name="RatioCertOther" refersTo="='Summary Page 2'!$H$40"/>
      <definedName name="RatioCertSubtotal" refersTo="='Summary Page 2'!$H$41"/>
      <definedName name="RatioClassOther" refersTo="='Summary Page 2'!$H$45"/>
      <definedName name="RatioClassSubtotal" refersTo="='Summary Page 2'!$H$46"/>
      <definedName name="RatioManagers" refersTo="='Summary Page 2'!$H$43"/>
      <definedName name="RatioTeachers" refersTo="='Summary Page 2'!$H$39"/>
      <definedName name="RatioTeachersAides" refersTo="='Summary Page 2'!$H$44"/>
      <definedName name="RatioTotal" refersTo="='Summary Page 2'!$H$47"/>
      <definedName name="SalaryCommentsSumm" refersTo="='Summary Page 1'!$E$15"/>
      <definedName name="SalaryIncreaseSumm" refersTo="='Summary Page 1'!$I$12"/>
      <definedName name="SecTaxRateBudgFYSumm" refersTo="='Summary Page 1'!$D$17"/>
      <definedName name="SecTaxRatePYSumm" refersTo="='Summary Page 1'!$C$17"/>
      <definedName name="SPEDELLCompInstrCurrFY" refersTo="='Page 2'!$F$11"/>
      <definedName name="SPEDStaff" refersTo="='Summary Page 2'!$H$51"/>
      <definedName name="SPEDTeacher" refersTo="='Summary Page 2'!$H$50"/>
      <definedName name="SumDebtServiceBY" refersTo="='Summary Page 2'!$D$16"/>
      <definedName name="SummAdjacentWaysBY" refersTo="='Summary Page 2'!$D$15"/>
      <definedName name="SummAllDisabilityBY" refersTo="='Summary Page 2'!$E$25"/>
      <definedName name="SummAllDisabilityPY" refersTo="='Summary Page 2'!$D$25"/>
      <definedName name="SummAuxOpsBY" refersTo="='Summary Page 2'!$D$18"/>
      <definedName name="SummBondBuildingBY" refersTo="='Summary Page 2'!$D$19"/>
      <definedName name="SummCareerEdBY" refersTo="='Summary Page 2'!$E$31"/>
      <definedName name="SummCareerEdPY" refersTo="='Summary Page 2'!$D$31"/>
      <definedName name="SummCompInstrBY" refersTo="='Summary Page 2'!$D$9"/>
      <definedName name="SummCSFBY" refersTo="='Summary Page 2'!$D$10"/>
      <definedName name="SummCTEDBY" refersTo="='Summary Page 2'!$E$32"/>
      <definedName name="SummCTEDPY" refersTo="='Summary Page 2'!$D$32"/>
      <definedName name="SummELLBY" refersTo="='Summary Page 2'!$D$8"/>
      <definedName name="SummELLCompInstBY" refersTo="='Summary Page 2'!$E$29"/>
      <definedName name="SummELLIncrementalBY" refersTo="='Summary Page 2'!$E$28"/>
      <definedName name="SummELLIncrementalPY" refersTo="='Summary Page 2'!$D$28"/>
      <definedName name="SummFedProjectsBY" refersTo="='Summary Page 2'!$D$11"/>
      <definedName name="SummFoodServiceBY" refersTo="='Summary Page 2'!$D$20"/>
      <definedName name="SummGiftedBY" refersTo="='Summary Page 2'!$E$26"/>
      <definedName name="SummGiftedPY" refersTo="='Summary Page 2'!$D$26"/>
      <definedName name="SummInstImprovBY" refersTo="='Summary Page 2'!$D$7"/>
      <definedName name="SummMOBY" refersTo="='Summary Page 2'!$D$6"/>
      <definedName name="SummNSFBY" refersTo="='Summary Page 2'!$D$14"/>
      <definedName name="SummOtherBY" refersTo="='Summary Page 2'!$D$21"/>
      <definedName name="SummRemedialBY" refersTo="='Summary Page 2'!$E$27"/>
      <definedName name="SummRemedialPY" refersTo="='Summary Page 2'!$D$27"/>
      <definedName name="SummSchoolPlantBY" refersTo="='Summary Page 2'!$D$17"/>
      <definedName name="SummSpecEdTotalBY" refersTo="='Summary Page 2'!$E$33"/>
      <definedName name="SummSpecEdTotalPY" refersTo="='Summary Page 2'!$D$33"/>
      <definedName name="SummStateProjectsBY" refersTo="='Summary Page 2'!$D$12"/>
      <definedName name="SummUCOBY" refersTo="='Summary Page 2'!$D$13"/>
      <definedName name="SummVocandTechEdBY" refersTo="='Summary Page 2'!$E$30"/>
      <definedName name="SummVocandTechEdPY" refersTo="='Summary Page 2'!$D$30"/>
      <definedName name="TotalFTEAdmin" refersTo="='Summary Page 2'!$F$38"/>
      <definedName name="TotalFTECertOther" refersTo="='Summary Page 2'!$F$40"/>
      <definedName name="TotalFTECertSubtotal" refersTo="='Summary Page 2'!$F$41"/>
      <definedName name="TotalFTEClassOther" refersTo="='Summary Page 2'!$F$45"/>
      <definedName name="TotalFTEClassSubtotal" refersTo="='Summary Page 2'!$F$46"/>
      <definedName name="TotalFTEManagers" refersTo="='Summary Page 2'!$F$43"/>
      <definedName name="TotalFTESpecEdStaff" refersTo="='Summary Page 2'!$F$51"/>
      <definedName name="TotalFTESpecEdTeacher" refersTo="='Summary Page 2'!$F$50"/>
      <definedName name="TotalFTETeachers" refersTo="='Summary Page 2'!$F$39"/>
      <definedName name="TotalFTETeachersAides" refersTo="='Summary Page 2'!$F$44"/>
      <definedName name="TotalFTETotal" refersTo="='Summary Page 2'!$F$47"/>
      <definedName name="TwoPriorYearADM" refersTo="='Summary Page 1'!$B$12"/>
      <definedName name="UCBLBudgFYSumm" refersTo="='Summary Page 1'!$D$24"/>
      <definedName name="UCOBudgFYSumm" refersTo="='Summary Page 1'!$C$24"/>
    </definedNames>
    <sheetDataSet>
      <sheetData sheetId="0">
        <row r="1">
          <cell r="C1" t="str">
            <v>Mary C. O'Brien Accommodation School District</v>
          </cell>
        </row>
        <row r="14">
          <cell r="C14" t="str">
            <v xml:space="preserve">     Adopted</v>
          </cell>
        </row>
        <row r="36">
          <cell r="F36" t="str">
            <v>Business Manager Name (Typed Name)</v>
          </cell>
        </row>
        <row r="38">
          <cell r="D38" t="str">
            <v>Tonya L. Taylor</v>
          </cell>
        </row>
        <row r="40">
          <cell r="F40" t="str">
            <v>Email:</v>
          </cell>
        </row>
      </sheetData>
      <sheetData sheetId="1">
        <row r="6">
          <cell r="D6" t="str">
            <v>Martin</v>
          </cell>
        </row>
        <row r="7">
          <cell r="D7" t="str">
            <v>Michelle</v>
          </cell>
        </row>
        <row r="8">
          <cell r="D8" t="str">
            <v>Tonya</v>
          </cell>
        </row>
        <row r="9">
          <cell r="D9" t="str">
            <v>Sherree</v>
          </cell>
        </row>
        <row r="10">
          <cell r="D10" t="str">
            <v>Tonya</v>
          </cell>
        </row>
        <row r="11">
          <cell r="D11" t="str">
            <v>Tonya</v>
          </cell>
        </row>
        <row r="12">
          <cell r="C12" t="str">
            <v xml:space="preserve">Mrs. </v>
          </cell>
          <cell r="D12" t="str">
            <v>Michelle</v>
          </cell>
        </row>
        <row r="13">
          <cell r="D13" t="str">
            <v>Ector</v>
          </cell>
        </row>
        <row r="14">
          <cell r="C14" t="str">
            <v xml:space="preserve">Mrs. </v>
          </cell>
          <cell r="D14" t="str">
            <v>SueAnn</v>
          </cell>
        </row>
        <row r="15">
          <cell r="D15" t="str">
            <v>Jesse</v>
          </cell>
          <cell r="E15" t="str">
            <v>Salazar</v>
          </cell>
        </row>
        <row r="16">
          <cell r="D16" t="str">
            <v>Ector</v>
          </cell>
        </row>
        <row r="17">
          <cell r="C17" t="str">
            <v>Mr.</v>
          </cell>
          <cell r="D17" t="str">
            <v>Ector</v>
          </cell>
        </row>
        <row r="18">
          <cell r="D18" t="str">
            <v>Ector</v>
          </cell>
        </row>
        <row r="19">
          <cell r="D19" t="str">
            <v>Ector</v>
          </cell>
        </row>
        <row r="20">
          <cell r="D20" t="str">
            <v>Jacob</v>
          </cell>
        </row>
        <row r="21">
          <cell r="D21" t="str">
            <v>Ector</v>
          </cell>
        </row>
        <row r="22">
          <cell r="C22" t="str">
            <v xml:space="preserve">Mrs. </v>
          </cell>
          <cell r="D22" t="str">
            <v>Jill</v>
          </cell>
        </row>
        <row r="23">
          <cell r="C23" t="str">
            <v xml:space="preserve">Mrs. </v>
          </cell>
          <cell r="D23" t="str">
            <v>Jill</v>
          </cell>
        </row>
        <row r="24">
          <cell r="C24" t="str">
            <v xml:space="preserve">Mrs. </v>
          </cell>
          <cell r="D24" t="str">
            <v>Jill</v>
          </cell>
        </row>
        <row r="25">
          <cell r="D25" t="str">
            <v>Jill</v>
          </cell>
          <cell r="E25" t="str">
            <v>Broussard</v>
          </cell>
        </row>
        <row r="26">
          <cell r="D26" t="str">
            <v>Jill</v>
          </cell>
          <cell r="E26" t="str">
            <v>Broussard</v>
          </cell>
        </row>
        <row r="27">
          <cell r="D27" t="str">
            <v>Jill</v>
          </cell>
          <cell r="E27" t="str">
            <v>Broussard</v>
          </cell>
        </row>
        <row r="28">
          <cell r="D28" t="str">
            <v>Jill</v>
          </cell>
          <cell r="E28" t="str">
            <v>Broussard</v>
          </cell>
        </row>
        <row r="29">
          <cell r="E29" t="str">
            <v>Broussard</v>
          </cell>
        </row>
        <row r="30">
          <cell r="D30" t="str">
            <v>Jill</v>
          </cell>
          <cell r="E30" t="str">
            <v>Broussard</v>
          </cell>
        </row>
        <row r="32">
          <cell r="D32" t="str">
            <v>SELECT from Dropdown</v>
          </cell>
        </row>
        <row r="33">
          <cell r="D33" t="str">
            <v>PowerSchool (PowerSchool)</v>
          </cell>
        </row>
        <row r="37">
          <cell r="D37" t="str">
            <v>N/A</v>
          </cell>
        </row>
        <row r="39">
          <cell r="D39" t="str">
            <v>www.pinalk12.org</v>
          </cell>
        </row>
      </sheetData>
      <sheetData sheetId="2">
        <row r="6">
          <cell r="D6" t="str">
            <v>FY</v>
          </cell>
        </row>
        <row r="7">
          <cell r="D7">
            <v>26</v>
          </cell>
        </row>
        <row r="9">
          <cell r="D9">
            <v>5</v>
          </cell>
        </row>
        <row r="10">
          <cell r="I10">
            <v>5000</v>
          </cell>
        </row>
        <row r="11">
          <cell r="D11">
            <v>0</v>
          </cell>
          <cell r="I11">
            <v>7000</v>
          </cell>
        </row>
        <row r="12">
          <cell r="C12" t="str">
            <v>4.</v>
          </cell>
          <cell r="D12">
            <v>2</v>
          </cell>
          <cell r="I12">
            <v>1000</v>
          </cell>
        </row>
        <row r="13">
          <cell r="D13">
            <v>3.5</v>
          </cell>
          <cell r="I13">
            <v>9000</v>
          </cell>
        </row>
        <row r="14">
          <cell r="C14" t="str">
            <v>6.</v>
          </cell>
          <cell r="D14">
            <v>4</v>
          </cell>
        </row>
        <row r="15">
          <cell r="D15">
            <v>8</v>
          </cell>
          <cell r="E15">
            <v>8</v>
          </cell>
        </row>
        <row r="16">
          <cell r="D16">
            <v>0</v>
          </cell>
        </row>
        <row r="17">
          <cell r="C17" t="str">
            <v>9.</v>
          </cell>
          <cell r="D17">
            <v>3</v>
          </cell>
        </row>
        <row r="18">
          <cell r="D18">
            <v>0</v>
          </cell>
        </row>
        <row r="19">
          <cell r="D19">
            <v>0</v>
          </cell>
        </row>
        <row r="20">
          <cell r="D20">
            <v>0</v>
          </cell>
        </row>
        <row r="21">
          <cell r="D21">
            <v>0</v>
          </cell>
        </row>
        <row r="22">
          <cell r="C22" t="str">
            <v>14.</v>
          </cell>
          <cell r="D22">
            <v>51.5</v>
          </cell>
        </row>
        <row r="23">
          <cell r="D23">
            <v>4</v>
          </cell>
        </row>
        <row r="24">
          <cell r="C24" t="str">
            <v>15.</v>
          </cell>
        </row>
        <row r="25">
          <cell r="D25">
            <v>2</v>
          </cell>
        </row>
        <row r="26">
          <cell r="E26">
            <v>2</v>
          </cell>
        </row>
        <row r="27">
          <cell r="D27">
            <v>0</v>
          </cell>
          <cell r="E27">
            <v>0</v>
          </cell>
        </row>
        <row r="28">
          <cell r="D28">
            <v>0</v>
          </cell>
          <cell r="E28">
            <v>0</v>
          </cell>
        </row>
        <row r="29">
          <cell r="E29">
            <v>0</v>
          </cell>
        </row>
        <row r="30">
          <cell r="D30">
            <v>0</v>
          </cell>
          <cell r="E30">
            <v>0</v>
          </cell>
        </row>
        <row r="31">
          <cell r="D31">
            <v>0</v>
          </cell>
          <cell r="E31">
            <v>0</v>
          </cell>
        </row>
        <row r="32">
          <cell r="D32">
            <v>0</v>
          </cell>
          <cell r="E32">
            <v>0</v>
          </cell>
        </row>
        <row r="33">
          <cell r="D33">
            <v>0</v>
          </cell>
          <cell r="E33">
            <v>0</v>
          </cell>
        </row>
        <row r="34">
          <cell r="D34">
            <v>6</v>
          </cell>
          <cell r="F34">
            <v>366170</v>
          </cell>
        </row>
        <row r="36">
          <cell r="D36">
            <v>0</v>
          </cell>
          <cell r="F36">
            <v>0</v>
          </cell>
        </row>
        <row r="38">
          <cell r="D38">
            <v>0</v>
          </cell>
          <cell r="E38">
            <v>0</v>
          </cell>
        </row>
        <row r="39">
          <cell r="D39">
            <v>0</v>
          </cell>
          <cell r="E39">
            <v>0</v>
          </cell>
          <cell r="F39">
            <v>0</v>
          </cell>
          <cell r="H39">
            <v>0</v>
          </cell>
        </row>
        <row r="41">
          <cell r="D41">
            <v>1</v>
          </cell>
          <cell r="E41">
            <v>1</v>
          </cell>
          <cell r="F41">
            <v>34686</v>
          </cell>
          <cell r="H41">
            <v>0</v>
          </cell>
        </row>
        <row r="42">
          <cell r="D42">
            <v>69</v>
          </cell>
          <cell r="F42">
            <v>3600844</v>
          </cell>
        </row>
      </sheetData>
      <sheetData sheetId="3">
        <row r="11">
          <cell r="F11">
            <v>0</v>
          </cell>
        </row>
        <row r="12">
          <cell r="B12" t="str">
            <v>Vocational and Technical Education (non-CTED)</v>
          </cell>
        </row>
        <row r="28">
          <cell r="E28" t="str">
            <v>Number of FTE - Certified Employees</v>
          </cell>
        </row>
        <row r="29">
          <cell r="E29" t="str">
            <v>Number of FTE - Certified Purchased Services Personnel</v>
          </cell>
        </row>
      </sheetData>
      <sheetData sheetId="4">
        <row r="6">
          <cell r="D6">
            <v>332984</v>
          </cell>
        </row>
        <row r="12">
          <cell r="C12" t="str">
            <v>7.</v>
          </cell>
        </row>
        <row r="14">
          <cell r="C14" t="str">
            <v>9.</v>
          </cell>
          <cell r="D14">
            <v>332984</v>
          </cell>
        </row>
        <row r="31">
          <cell r="D31">
            <v>389660</v>
          </cell>
        </row>
        <row r="32">
          <cell r="D32">
            <v>135318</v>
          </cell>
          <cell r="E32" t="str">
            <v/>
          </cell>
        </row>
        <row r="33">
          <cell r="D33">
            <v>254342</v>
          </cell>
        </row>
        <row r="34">
          <cell r="D34">
            <v>2805</v>
          </cell>
        </row>
        <row r="36">
          <cell r="D36">
            <v>0</v>
          </cell>
        </row>
        <row r="38">
          <cell r="D38">
            <v>475691</v>
          </cell>
        </row>
      </sheetData>
      <sheetData sheetId="5">
        <row r="7">
          <cell r="D7">
            <v>6440</v>
          </cell>
        </row>
        <row r="12">
          <cell r="C12" t="str">
            <v>3.</v>
          </cell>
        </row>
        <row r="13">
          <cell r="D13">
            <v>90000</v>
          </cell>
          <cell r="I13">
            <v>25000</v>
          </cell>
        </row>
        <row r="14">
          <cell r="C14" t="str">
            <v>5.</v>
          </cell>
          <cell r="D14">
            <v>50000</v>
          </cell>
        </row>
        <row r="17">
          <cell r="C17" t="str">
            <v>8.</v>
          </cell>
          <cell r="D17">
            <v>75000</v>
          </cell>
        </row>
        <row r="19">
          <cell r="D19">
            <v>215000</v>
          </cell>
        </row>
        <row r="30">
          <cell r="E30" t="str">
            <v>(6)</v>
          </cell>
        </row>
        <row r="39">
          <cell r="E39" t="str">
            <v>, interest on leases of</v>
          </cell>
          <cell r="H39" t="str">
            <v>, and interest on bonds of</v>
          </cell>
        </row>
      </sheetData>
      <sheetData sheetId="6">
        <row r="6">
          <cell r="D6" t="str">
            <v>Fund 610</v>
          </cell>
        </row>
        <row r="7">
          <cell r="D7" t="str">
            <v>Prior FY</v>
          </cell>
        </row>
        <row r="8">
          <cell r="D8">
            <v>1802516</v>
          </cell>
        </row>
        <row r="10">
          <cell r="D10">
            <v>0</v>
          </cell>
        </row>
        <row r="11">
          <cell r="D11">
            <v>0</v>
          </cell>
          <cell r="F11">
            <v>0</v>
          </cell>
        </row>
        <row r="12">
          <cell r="C12" t="str">
            <v>4.</v>
          </cell>
          <cell r="D12">
            <v>0</v>
          </cell>
        </row>
        <row r="13">
          <cell r="D13">
            <v>21000</v>
          </cell>
        </row>
        <row r="14">
          <cell r="C14" t="str">
            <v>6.</v>
          </cell>
          <cell r="D14">
            <v>494083</v>
          </cell>
        </row>
        <row r="15">
          <cell r="D15">
            <v>677433</v>
          </cell>
          <cell r="E15">
            <v>800000</v>
          </cell>
        </row>
        <row r="16">
          <cell r="D16">
            <v>185000</v>
          </cell>
        </row>
        <row r="17">
          <cell r="C17" t="str">
            <v>9.</v>
          </cell>
          <cell r="D17">
            <v>250000</v>
          </cell>
        </row>
        <row r="18">
          <cell r="D18">
            <v>150000</v>
          </cell>
        </row>
        <row r="19">
          <cell r="D19">
            <v>25000</v>
          </cell>
        </row>
        <row r="20">
          <cell r="D20">
            <v>1802516</v>
          </cell>
        </row>
        <row r="22">
          <cell r="C22" t="str">
            <v>13.</v>
          </cell>
          <cell r="D22">
            <v>0</v>
          </cell>
        </row>
        <row r="23">
          <cell r="C23" t="str">
            <v>14.</v>
          </cell>
          <cell r="D23">
            <v>0</v>
          </cell>
        </row>
        <row r="24">
          <cell r="C24" t="str">
            <v>15.</v>
          </cell>
          <cell r="D24">
            <v>1802516</v>
          </cell>
        </row>
        <row r="25">
          <cell r="D25">
            <v>1802516</v>
          </cell>
          <cell r="E25">
            <v>1698585</v>
          </cell>
        </row>
        <row r="26">
          <cell r="E26" t="str">
            <v/>
          </cell>
        </row>
        <row r="28">
          <cell r="E28">
            <v>0</v>
          </cell>
        </row>
      </sheetData>
      <sheetData sheetId="7">
        <row r="10">
          <cell r="I10">
            <v>0</v>
          </cell>
        </row>
        <row r="11">
          <cell r="F11">
            <v>0</v>
          </cell>
          <cell r="I11">
            <v>0</v>
          </cell>
        </row>
        <row r="12">
          <cell r="C12" t="str">
            <v>200 ESEA Title VII - Indian Education</v>
          </cell>
          <cell r="I12">
            <v>0</v>
          </cell>
        </row>
        <row r="13">
          <cell r="I13">
            <v>0</v>
          </cell>
        </row>
        <row r="14">
          <cell r="C14" t="str">
            <v>220 IDEA Part B</v>
          </cell>
        </row>
        <row r="17">
          <cell r="C17" t="str">
            <v>250 AEA -  Adult Education</v>
          </cell>
        </row>
        <row r="22">
          <cell r="C22" t="str">
            <v>378 Impact Aid</v>
          </cell>
        </row>
        <row r="23">
          <cell r="C23" t="str">
            <v>300-399 Other Federal Projects (Besides E-Rate &amp; Impact Aid)</v>
          </cell>
        </row>
        <row r="24">
          <cell r="C24" t="str">
            <v>Total Federal Project Funds (lines 1-17)</v>
          </cell>
        </row>
        <row r="32">
          <cell r="F32">
            <v>0</v>
          </cell>
        </row>
        <row r="34">
          <cell r="F34">
            <v>0</v>
          </cell>
        </row>
        <row r="36">
          <cell r="F36">
            <v>0</v>
          </cell>
        </row>
        <row r="37">
          <cell r="F37">
            <v>0</v>
          </cell>
        </row>
        <row r="39">
          <cell r="F39" t="str">
            <v>Prior FY</v>
          </cell>
          <cell r="H39" t="str">
            <v>Budget FY</v>
          </cell>
        </row>
        <row r="40">
          <cell r="F40">
            <v>8340</v>
          </cell>
          <cell r="H40">
            <v>8340</v>
          </cell>
        </row>
        <row r="41">
          <cell r="F41">
            <v>4170</v>
          </cell>
          <cell r="H41">
            <v>4170</v>
          </cell>
        </row>
        <row r="42">
          <cell r="F42">
            <v>0</v>
          </cell>
        </row>
        <row r="43">
          <cell r="F43">
            <v>8340</v>
          </cell>
          <cell r="H43">
            <v>8340</v>
          </cell>
        </row>
        <row r="44">
          <cell r="F44">
            <v>20850</v>
          </cell>
          <cell r="H44">
            <v>20850</v>
          </cell>
        </row>
      </sheetData>
      <sheetData sheetId="8">
        <row r="10">
          <cell r="I10" t="str">
            <v>$</v>
          </cell>
        </row>
        <row r="14">
          <cell r="C14" t="str">
            <v>FY 2024 District Additional Assistance (DAA)  (from BSA55 tab, page 4)</v>
          </cell>
        </row>
        <row r="17">
          <cell r="C17" t="str">
            <v>Total DAA (line 2.a plus 2.b)</v>
          </cell>
        </row>
      </sheetData>
      <sheetData sheetId="9">
        <row r="12">
          <cell r="B12" t="str">
            <v>4.</v>
          </cell>
          <cell r="C12" t="str">
            <v xml:space="preserve">Amount Budgeted in Fund 610 in FY 2023 </v>
          </cell>
        </row>
        <row r="14">
          <cell r="C14" t="str">
            <v>Lesser of line 3 or the sum of line 4 and any positive adjustment on line 2</v>
          </cell>
        </row>
        <row r="17">
          <cell r="C17" t="str">
            <v xml:space="preserve">Unexpended Budget Balance in Fund 610 (line 5 minus 6) If negative, use zero in </v>
          </cell>
        </row>
        <row r="22">
          <cell r="C22" t="str">
            <v>Adjustment to UCBL for FY 2024 (A.R.S. §15-905.M) Include year(s) and descriptions, as applicable.</v>
          </cell>
        </row>
        <row r="23">
          <cell r="C23" t="str">
            <v>(a)</v>
          </cell>
          <cell r="D23" t="str">
            <v>Prior Year Over Expenditures/Resolutions:</v>
          </cell>
        </row>
        <row r="27">
          <cell r="D27" t="str">
            <v>ADM/Transportation Audit Adjustment</v>
          </cell>
        </row>
        <row r="28">
          <cell r="D28" t="str">
            <v>Other:</v>
          </cell>
        </row>
      </sheetData>
      <sheetData sheetId="10">
        <row r="6">
          <cell r="D6" t="str">
            <v>FY</v>
          </cell>
        </row>
        <row r="7">
          <cell r="D7">
            <v>0</v>
          </cell>
        </row>
        <row r="9">
          <cell r="D9">
            <v>0</v>
          </cell>
        </row>
        <row r="11">
          <cell r="D11">
            <v>0</v>
          </cell>
        </row>
        <row r="12">
          <cell r="C12" t="str">
            <v>4.</v>
          </cell>
          <cell r="D12">
            <v>0</v>
          </cell>
        </row>
        <row r="13">
          <cell r="D13">
            <v>0</v>
          </cell>
        </row>
        <row r="14">
          <cell r="C14" t="str">
            <v>6.</v>
          </cell>
          <cell r="D14">
            <v>0</v>
          </cell>
        </row>
        <row r="15">
          <cell r="D15">
            <v>0</v>
          </cell>
        </row>
        <row r="16">
          <cell r="D16">
            <v>0</v>
          </cell>
        </row>
        <row r="17">
          <cell r="C17" t="str">
            <v>9.</v>
          </cell>
          <cell r="D17">
            <v>0</v>
          </cell>
        </row>
        <row r="18">
          <cell r="D18">
            <v>0</v>
          </cell>
        </row>
        <row r="19">
          <cell r="D19">
            <v>0</v>
          </cell>
        </row>
        <row r="21">
          <cell r="D21">
            <v>0</v>
          </cell>
        </row>
        <row r="22">
          <cell r="C22" t="str">
            <v>12.</v>
          </cell>
        </row>
        <row r="23">
          <cell r="C23" t="str">
            <v>13.</v>
          </cell>
          <cell r="D23">
            <v>0</v>
          </cell>
        </row>
        <row r="24">
          <cell r="C24" t="str">
            <v>14.</v>
          </cell>
          <cell r="D24">
            <v>0</v>
          </cell>
        </row>
        <row r="25">
          <cell r="D25">
            <v>0</v>
          </cell>
        </row>
        <row r="26">
          <cell r="D26">
            <v>0</v>
          </cell>
        </row>
        <row r="27">
          <cell r="D27">
            <v>0</v>
          </cell>
        </row>
        <row r="28">
          <cell r="D28">
            <v>0</v>
          </cell>
        </row>
        <row r="30">
          <cell r="D30">
            <v>0</v>
          </cell>
          <cell r="E30">
            <v>0</v>
          </cell>
        </row>
      </sheetData>
      <sheetData sheetId="11">
        <row r="2">
          <cell r="I2" t="str">
            <v>Proposed</v>
          </cell>
        </row>
        <row r="3">
          <cell r="B3" t="str">
            <v xml:space="preserve">Mary C. O'Brien Accommodation </v>
          </cell>
          <cell r="F3" t="str">
            <v>Pinal</v>
          </cell>
        </row>
        <row r="5">
          <cell r="A5" t="str">
            <v>Tonya L. Taylor</v>
          </cell>
        </row>
        <row r="9">
          <cell r="D9" t="str">
            <v>Budget Year</v>
          </cell>
        </row>
        <row r="10">
          <cell r="D10" t="str">
            <v>2024 ADM</v>
          </cell>
          <cell r="I10">
            <v>65067</v>
          </cell>
        </row>
        <row r="11">
          <cell r="I11">
            <v>69777</v>
          </cell>
        </row>
        <row r="12">
          <cell r="B12">
            <v>196.4194</v>
          </cell>
          <cell r="C12">
            <v>202.23060000000001</v>
          </cell>
          <cell r="D12">
            <v>202.23060000000001</v>
          </cell>
          <cell r="I12">
            <v>-4710</v>
          </cell>
        </row>
        <row r="13">
          <cell r="D13" t="str">
            <v>Est. Budget FY</v>
          </cell>
          <cell r="I13">
            <v>-7.0000000000000007E-2</v>
          </cell>
        </row>
        <row r="14">
          <cell r="C14">
            <v>0</v>
          </cell>
          <cell r="D14">
            <v>0</v>
          </cell>
        </row>
        <row r="15">
          <cell r="E15" t="str">
            <v xml:space="preserve">Thru attrition, this district experienced long term certified employees retiring and new employees hired at a lower rate of pay.  
However, an average increase of 3% was given to certified employees overall.
</v>
          </cell>
        </row>
        <row r="17">
          <cell r="C17">
            <v>0</v>
          </cell>
          <cell r="D17">
            <v>0</v>
          </cell>
        </row>
        <row r="21">
          <cell r="D21" t="str">
            <v>Budget Limit</v>
          </cell>
        </row>
        <row r="22">
          <cell r="C22">
            <v>7047001</v>
          </cell>
          <cell r="D22">
            <v>7047001</v>
          </cell>
        </row>
        <row r="23">
          <cell r="C23">
            <v>475691</v>
          </cell>
          <cell r="D23">
            <v>475691</v>
          </cell>
        </row>
        <row r="24">
          <cell r="C24">
            <v>1698585</v>
          </cell>
          <cell r="D24">
            <v>1698585</v>
          </cell>
        </row>
        <row r="29">
          <cell r="E29" t="str">
            <v>Other</v>
          </cell>
        </row>
        <row r="30">
          <cell r="D30" t="str">
            <v>Budget FY</v>
          </cell>
          <cell r="E30" t="str">
            <v>Prior FY</v>
          </cell>
        </row>
        <row r="32">
          <cell r="D32">
            <v>2956253</v>
          </cell>
          <cell r="E32">
            <v>232240</v>
          </cell>
          <cell r="F32">
            <v>193000</v>
          </cell>
        </row>
        <row r="34">
          <cell r="D34">
            <v>362176</v>
          </cell>
          <cell r="F34">
            <v>22000</v>
          </cell>
        </row>
        <row r="36">
          <cell r="D36">
            <v>0</v>
          </cell>
          <cell r="F36">
            <v>41500</v>
          </cell>
        </row>
        <row r="37">
          <cell r="D37">
            <v>840490</v>
          </cell>
          <cell r="F37">
            <v>131000</v>
          </cell>
        </row>
        <row r="38">
          <cell r="D38">
            <v>452575</v>
          </cell>
          <cell r="E38">
            <v>582463</v>
          </cell>
          <cell r="F38">
            <v>577000</v>
          </cell>
          <cell r="H38">
            <v>1029575</v>
          </cell>
        </row>
        <row r="39">
          <cell r="D39">
            <v>0</v>
          </cell>
          <cell r="E39">
            <v>0</v>
          </cell>
          <cell r="F39">
            <v>0</v>
          </cell>
          <cell r="H39">
            <v>0</v>
          </cell>
        </row>
        <row r="40">
          <cell r="D40">
            <v>168263</v>
          </cell>
          <cell r="E40">
            <v>5025</v>
          </cell>
          <cell r="F40">
            <v>5600</v>
          </cell>
          <cell r="H40">
            <v>173863</v>
          </cell>
        </row>
        <row r="41">
          <cell r="D41">
            <v>0</v>
          </cell>
          <cell r="E41">
            <v>0</v>
          </cell>
          <cell r="F41">
            <v>0</v>
          </cell>
          <cell r="H41">
            <v>0</v>
          </cell>
        </row>
        <row r="42">
          <cell r="D42">
            <v>0</v>
          </cell>
          <cell r="F42">
            <v>0</v>
          </cell>
        </row>
        <row r="43">
          <cell r="D43">
            <v>0</v>
          </cell>
          <cell r="E43">
            <v>0</v>
          </cell>
          <cell r="F43">
            <v>0</v>
          </cell>
          <cell r="H43">
            <v>0</v>
          </cell>
        </row>
        <row r="44">
          <cell r="D44">
            <v>4779757</v>
          </cell>
          <cell r="E44">
            <v>1046406</v>
          </cell>
          <cell r="F44">
            <v>970100</v>
          </cell>
          <cell r="H44">
            <v>5749857</v>
          </cell>
        </row>
        <row r="45">
          <cell r="D45">
            <v>299842</v>
          </cell>
          <cell r="E45">
            <v>10500</v>
          </cell>
          <cell r="F45">
            <v>4000</v>
          </cell>
          <cell r="H45">
            <v>303842</v>
          </cell>
        </row>
        <row r="47">
          <cell r="D47">
            <v>155939</v>
          </cell>
          <cell r="E47">
            <v>108750</v>
          </cell>
          <cell r="F47">
            <v>0</v>
          </cell>
          <cell r="H47">
            <v>155939</v>
          </cell>
        </row>
        <row r="49">
          <cell r="D49">
            <v>61689</v>
          </cell>
          <cell r="F49">
            <v>8000</v>
          </cell>
        </row>
        <row r="50">
          <cell r="D50">
            <v>0</v>
          </cell>
          <cell r="E50">
            <v>0</v>
          </cell>
          <cell r="F50">
            <v>0</v>
          </cell>
          <cell r="H50">
            <v>0</v>
          </cell>
        </row>
        <row r="51">
          <cell r="D51">
            <v>0</v>
          </cell>
          <cell r="E51">
            <v>0</v>
          </cell>
          <cell r="F51">
            <v>0</v>
          </cell>
          <cell r="H51">
            <v>0</v>
          </cell>
        </row>
        <row r="52">
          <cell r="D52">
            <v>0</v>
          </cell>
          <cell r="F52">
            <v>0</v>
          </cell>
        </row>
        <row r="53">
          <cell r="D53">
            <v>0</v>
          </cell>
          <cell r="F53">
            <v>0</v>
          </cell>
        </row>
        <row r="55">
          <cell r="D55">
            <v>544628</v>
          </cell>
          <cell r="F55">
            <v>172000</v>
          </cell>
        </row>
        <row r="56">
          <cell r="D56">
            <v>0</v>
          </cell>
          <cell r="F56">
            <v>0</v>
          </cell>
        </row>
        <row r="57">
          <cell r="D57">
            <v>0</v>
          </cell>
          <cell r="F57">
            <v>0</v>
          </cell>
        </row>
        <row r="58">
          <cell r="D58">
            <v>0</v>
          </cell>
          <cell r="F58">
            <v>0</v>
          </cell>
        </row>
        <row r="60">
          <cell r="D60">
            <v>51046</v>
          </cell>
          <cell r="F60">
            <v>0</v>
          </cell>
        </row>
      </sheetData>
      <sheetData sheetId="12">
        <row r="6">
          <cell r="D6">
            <v>7047001</v>
          </cell>
        </row>
        <row r="7">
          <cell r="D7">
            <v>20850</v>
          </cell>
        </row>
        <row r="8">
          <cell r="D8">
            <v>0</v>
          </cell>
        </row>
        <row r="9">
          <cell r="D9">
            <v>0</v>
          </cell>
        </row>
        <row r="10">
          <cell r="D10">
            <v>475691</v>
          </cell>
        </row>
        <row r="11">
          <cell r="D11">
            <v>662079</v>
          </cell>
          <cell r="F11">
            <v>-0.255</v>
          </cell>
        </row>
        <row r="12">
          <cell r="C12">
            <v>0</v>
          </cell>
          <cell r="D12">
            <v>71145</v>
          </cell>
        </row>
        <row r="13">
          <cell r="D13">
            <v>1698585</v>
          </cell>
        </row>
        <row r="14">
          <cell r="C14">
            <v>0</v>
          </cell>
          <cell r="D14">
            <v>0</v>
          </cell>
        </row>
        <row r="15">
          <cell r="D15">
            <v>0</v>
          </cell>
          <cell r="E15">
            <v>0</v>
          </cell>
        </row>
        <row r="16">
          <cell r="D16">
            <v>0</v>
          </cell>
        </row>
        <row r="17">
          <cell r="C17">
            <v>0</v>
          </cell>
          <cell r="D17">
            <v>0</v>
          </cell>
        </row>
        <row r="18">
          <cell r="D18">
            <v>0</v>
          </cell>
        </row>
        <row r="19">
          <cell r="D19">
            <v>0</v>
          </cell>
        </row>
        <row r="20">
          <cell r="D20">
            <v>185000</v>
          </cell>
        </row>
        <row r="21">
          <cell r="D21">
            <v>300750</v>
          </cell>
        </row>
        <row r="24">
          <cell r="D24" t="str">
            <v>Prior FY</v>
          </cell>
        </row>
        <row r="25">
          <cell r="D25">
            <v>533182</v>
          </cell>
          <cell r="E25">
            <v>529470</v>
          </cell>
        </row>
        <row r="26">
          <cell r="D26">
            <v>0</v>
          </cell>
          <cell r="E26">
            <v>0</v>
          </cell>
        </row>
        <row r="27">
          <cell r="D27">
            <v>0</v>
          </cell>
          <cell r="E27">
            <v>0</v>
          </cell>
        </row>
        <row r="28">
          <cell r="D28">
            <v>0</v>
          </cell>
          <cell r="E28">
            <v>0</v>
          </cell>
        </row>
        <row r="29">
          <cell r="E29">
            <v>0</v>
          </cell>
        </row>
        <row r="30">
          <cell r="D30">
            <v>0</v>
          </cell>
          <cell r="E30">
            <v>0</v>
          </cell>
        </row>
        <row r="31">
          <cell r="D31">
            <v>0</v>
          </cell>
          <cell r="E31">
            <v>0</v>
          </cell>
        </row>
        <row r="32">
          <cell r="D32">
            <v>0</v>
          </cell>
          <cell r="E32">
            <v>0</v>
          </cell>
        </row>
        <row r="33">
          <cell r="D33">
            <v>533182</v>
          </cell>
          <cell r="E33">
            <v>529470</v>
          </cell>
        </row>
        <row r="36">
          <cell r="D36" t="str">
            <v>Purchased Services Personnel  FTE</v>
          </cell>
          <cell r="F36" t="str">
            <v>Total FTE</v>
          </cell>
        </row>
        <row r="38">
          <cell r="D38">
            <v>0</v>
          </cell>
          <cell r="E38">
            <v>3</v>
          </cell>
          <cell r="F38">
            <v>3</v>
          </cell>
          <cell r="H38">
            <v>67.400000000000006</v>
          </cell>
        </row>
        <row r="39">
          <cell r="D39">
            <v>0</v>
          </cell>
          <cell r="E39">
            <v>20</v>
          </cell>
          <cell r="F39">
            <v>20</v>
          </cell>
          <cell r="H39">
            <v>10.1</v>
          </cell>
        </row>
        <row r="40">
          <cell r="D40">
            <v>0</v>
          </cell>
          <cell r="E40">
            <v>3</v>
          </cell>
          <cell r="F40">
            <v>3</v>
          </cell>
          <cell r="H40">
            <v>67.400000000000006</v>
          </cell>
        </row>
        <row r="41">
          <cell r="D41">
            <v>0</v>
          </cell>
          <cell r="E41">
            <v>26</v>
          </cell>
          <cell r="F41">
            <v>26</v>
          </cell>
          <cell r="H41">
            <v>7.8</v>
          </cell>
        </row>
        <row r="43">
          <cell r="D43">
            <v>0</v>
          </cell>
          <cell r="E43">
            <v>5</v>
          </cell>
          <cell r="F43">
            <v>5</v>
          </cell>
          <cell r="H43">
            <v>40.4</v>
          </cell>
        </row>
        <row r="44">
          <cell r="D44">
            <v>1</v>
          </cell>
          <cell r="E44">
            <v>9</v>
          </cell>
          <cell r="F44">
            <v>10</v>
          </cell>
          <cell r="H44">
            <v>20.2</v>
          </cell>
        </row>
        <row r="45">
          <cell r="D45">
            <v>0</v>
          </cell>
          <cell r="E45">
            <v>28</v>
          </cell>
          <cell r="F45">
            <v>28</v>
          </cell>
          <cell r="H45">
            <v>7.2</v>
          </cell>
        </row>
        <row r="46">
          <cell r="D46">
            <v>1</v>
          </cell>
          <cell r="E46">
            <v>42</v>
          </cell>
          <cell r="F46">
            <v>43</v>
          </cell>
          <cell r="H46">
            <v>4.7</v>
          </cell>
        </row>
        <row r="47">
          <cell r="D47">
            <v>1</v>
          </cell>
          <cell r="E47">
            <v>68</v>
          </cell>
          <cell r="F47">
            <v>69</v>
          </cell>
          <cell r="H47">
            <v>2.9</v>
          </cell>
        </row>
        <row r="50">
          <cell r="D50">
            <v>0</v>
          </cell>
          <cell r="E50">
            <v>1</v>
          </cell>
          <cell r="F50">
            <v>1</v>
          </cell>
          <cell r="H50">
            <v>10</v>
          </cell>
        </row>
        <row r="51">
          <cell r="D51">
            <v>0</v>
          </cell>
          <cell r="E51">
            <v>0</v>
          </cell>
          <cell r="F51">
            <v>0</v>
          </cell>
          <cell r="H51">
            <v>10</v>
          </cell>
        </row>
      </sheetData>
      <sheetData sheetId="13">
        <row r="11">
          <cell r="I11">
            <v>0</v>
          </cell>
        </row>
        <row r="12">
          <cell r="C12" t="str">
            <v>Dropout Prevention (from page 1, line 27)</v>
          </cell>
          <cell r="I12">
            <v>0</v>
          </cell>
        </row>
        <row r="13">
          <cell r="I13">
            <v>0</v>
          </cell>
        </row>
        <row r="14">
          <cell r="C14" t="str">
            <v>Small School Adjustment (from page 7, line 4, columns A and B)</v>
          </cell>
        </row>
        <row r="17">
          <cell r="C17" t="str">
            <v>a.</v>
          </cell>
          <cell r="D17" t="str">
            <v xml:space="preserve">FY 2023 Total Actual Expenditures for programs above                                               </v>
          </cell>
        </row>
        <row r="18">
          <cell r="D18" t="str">
            <v>Sum of FY 2023 original budget amounts for programs above (from FY 2023 TNT work sheet, sum of lines 4, 5, and 6)</v>
          </cell>
        </row>
        <row r="19">
          <cell r="D19" t="str">
            <v>Expenditures over/(under) original budget (line 8.a minus line 8.b)</v>
          </cell>
        </row>
        <row r="21">
          <cell r="D21" t="str">
            <v xml:space="preserve">FY 2023 final budget for Small School Adjustment        </v>
          </cell>
        </row>
        <row r="22">
          <cell r="C22" t="str">
            <v>b.</v>
          </cell>
          <cell r="D22" t="str">
            <v>FY 2023 original budget for Small School Adjustment (from FY 2023 TNT work sheet, line 7)</v>
          </cell>
        </row>
        <row r="23">
          <cell r="C23" t="str">
            <v>c.</v>
          </cell>
          <cell r="D23" t="str">
            <v>Amount over/(under) budget for Small School Adjustment (line 9.a minus line 9.b)</v>
          </cell>
        </row>
        <row r="24">
          <cell r="C24" t="str">
            <v>Total (add lines 4 through 7 and line 8.c. and line 9.c.)</v>
          </cell>
        </row>
        <row r="38">
          <cell r="H38" t="str">
            <v>$</v>
          </cell>
        </row>
      </sheetData>
      <sheetData sheetId="14">
        <row r="8">
          <cell r="D8" t="str">
            <v>0.5 mile or less  OR  more than 1.0 mile</v>
          </cell>
        </row>
        <row r="9">
          <cell r="D9" t="str">
            <v>More than 0.5 mile through 1.0 mile</v>
          </cell>
        </row>
        <row r="17">
          <cell r="C17" t="str">
            <v xml:space="preserve">FY 2023 100th-Day ADM </v>
          </cell>
        </row>
        <row r="22">
          <cell r="C22" t="str">
            <v>Total FY 2024 Estimated Student Count</v>
          </cell>
        </row>
        <row r="44">
          <cell r="H44">
            <v>0</v>
          </cell>
        </row>
        <row r="46">
          <cell r="D46" t="str">
            <v>9-12</v>
          </cell>
        </row>
        <row r="47">
          <cell r="E47" t="str">
            <v>Check box(es) if the district's schools are designated as small isolated by the State Board of Education. (A.R.S. §15-901)</v>
          </cell>
        </row>
        <row r="51">
          <cell r="E51" t="str">
            <v>Check box if the district has been approved to provide 200 days of instruction by ADE. (A.R.S. §15-902.04)</v>
          </cell>
        </row>
      </sheetData>
      <sheetData sheetId="15">
        <row r="11">
          <cell r="I11" t="str">
            <v>9-12</v>
          </cell>
        </row>
        <row r="13">
          <cell r="I13">
            <v>1.669</v>
          </cell>
        </row>
        <row r="49">
          <cell r="F49" t="str">
            <v>TABLE TO CALCULATE DAA PER STUDENT COUNT</v>
          </cell>
        </row>
        <row r="52">
          <cell r="F52" t="str">
            <v>DAA per Student Count</v>
          </cell>
        </row>
        <row r="55">
          <cell r="D55" t="str">
            <v>Student Count Constant</v>
          </cell>
        </row>
        <row r="56">
          <cell r="D56" t="str">
            <v xml:space="preserve">Student Count </v>
          </cell>
        </row>
        <row r="57">
          <cell r="D57" t="str">
            <v>Difference</v>
          </cell>
        </row>
        <row r="58">
          <cell r="D58" t="str">
            <v>Weight Adjustment Factor</v>
          </cell>
        </row>
        <row r="60">
          <cell r="D60" t="str">
            <v xml:space="preserve">Support Level Weight  </v>
          </cell>
        </row>
      </sheetData>
      <sheetData sheetId="16">
        <row r="6">
          <cell r="D6" t="str">
            <v>AOI-FT 
ADM</v>
          </cell>
        </row>
        <row r="7">
          <cell r="D7">
            <v>0</v>
          </cell>
        </row>
        <row r="8">
          <cell r="D8">
            <v>0</v>
          </cell>
        </row>
        <row r="9">
          <cell r="D9">
            <v>0</v>
          </cell>
        </row>
        <row r="10">
          <cell r="D10">
            <v>0</v>
          </cell>
        </row>
        <row r="12">
          <cell r="I12">
            <v>0</v>
          </cell>
        </row>
        <row r="13">
          <cell r="I13">
            <v>296.79250000000002</v>
          </cell>
        </row>
        <row r="16">
          <cell r="D16" t="str">
            <v>AOI-FT 
ADM</v>
          </cell>
        </row>
        <row r="17">
          <cell r="C17">
            <v>1</v>
          </cell>
          <cell r="D17">
            <v>0</v>
          </cell>
        </row>
        <row r="18">
          <cell r="D18">
            <v>0</v>
          </cell>
        </row>
        <row r="19">
          <cell r="D19">
            <v>0</v>
          </cell>
        </row>
        <row r="20">
          <cell r="D20">
            <v>0</v>
          </cell>
        </row>
        <row r="21">
          <cell r="D21">
            <v>0</v>
          </cell>
        </row>
        <row r="22">
          <cell r="C22">
            <v>1</v>
          </cell>
          <cell r="D22">
            <v>0</v>
          </cell>
        </row>
        <row r="23">
          <cell r="C23">
            <v>0</v>
          </cell>
          <cell r="D23">
            <v>0</v>
          </cell>
        </row>
        <row r="24">
          <cell r="C24">
            <v>0</v>
          </cell>
          <cell r="D24">
            <v>0</v>
          </cell>
        </row>
        <row r="25">
          <cell r="D25">
            <v>0</v>
          </cell>
          <cell r="E25">
            <v>0</v>
          </cell>
        </row>
        <row r="26">
          <cell r="D26">
            <v>0</v>
          </cell>
          <cell r="E26">
            <v>0</v>
          </cell>
        </row>
        <row r="27">
          <cell r="D27">
            <v>0</v>
          </cell>
          <cell r="E27">
            <v>0</v>
          </cell>
        </row>
        <row r="28">
          <cell r="D28">
            <v>0</v>
          </cell>
          <cell r="E28">
            <v>0</v>
          </cell>
        </row>
        <row r="29">
          <cell r="E29">
            <v>0</v>
          </cell>
        </row>
        <row r="30">
          <cell r="D30">
            <v>0</v>
          </cell>
          <cell r="E30">
            <v>0</v>
          </cell>
        </row>
        <row r="31">
          <cell r="D31">
            <v>0</v>
          </cell>
          <cell r="E31">
            <v>0</v>
          </cell>
        </row>
        <row r="32">
          <cell r="D32">
            <v>0</v>
          </cell>
          <cell r="E32">
            <v>0</v>
          </cell>
          <cell r="F32">
            <v>2.1999999999999999E-2</v>
          </cell>
        </row>
        <row r="33">
          <cell r="D33">
            <v>0</v>
          </cell>
          <cell r="E33">
            <v>0</v>
          </cell>
        </row>
        <row r="39">
          <cell r="D39" t="str">
            <v>Mary C. O'Brien Accommodation School District</v>
          </cell>
        </row>
        <row r="40">
          <cell r="D40" t="str">
            <v>Basic Calculations For Equalization Assistance</v>
          </cell>
        </row>
        <row r="41">
          <cell r="F41" t="str">
            <v>Is Small Isolated School District:</v>
          </cell>
        </row>
        <row r="43">
          <cell r="D43" t="str">
            <v>Non-AOI 
ADM</v>
          </cell>
          <cell r="F43" t="str">
            <v>AOI-FT 
ADM</v>
          </cell>
          <cell r="H43" t="str">
            <v>AOI-PT 
ADM</v>
          </cell>
        </row>
        <row r="44">
          <cell r="D44">
            <v>296.79250000000002</v>
          </cell>
          <cell r="F44">
            <v>0</v>
          </cell>
          <cell r="H44">
            <v>0</v>
          </cell>
        </row>
        <row r="45">
          <cell r="D45">
            <v>23.8352</v>
          </cell>
          <cell r="E45" t="str">
            <v>+</v>
          </cell>
          <cell r="F45">
            <v>0</v>
          </cell>
          <cell r="H45">
            <v>0</v>
          </cell>
        </row>
        <row r="46">
          <cell r="D46">
            <v>320.6277</v>
          </cell>
          <cell r="E46" t="str">
            <v>=</v>
          </cell>
          <cell r="F46">
            <v>0</v>
          </cell>
          <cell r="H46">
            <v>0</v>
          </cell>
        </row>
        <row r="47">
          <cell r="D47">
            <v>1</v>
          </cell>
          <cell r="E47" t="str">
            <v>x</v>
          </cell>
          <cell r="F47">
            <v>0.95</v>
          </cell>
          <cell r="H47">
            <v>0.85</v>
          </cell>
        </row>
        <row r="51">
          <cell r="H51">
            <v>320.62768299999999</v>
          </cell>
        </row>
      </sheetData>
      <sheetData sheetId="17">
        <row r="6">
          <cell r="D6" t="str">
            <v>Yes</v>
          </cell>
        </row>
        <row r="7">
          <cell r="D7" t="str">
            <v>Yes</v>
          </cell>
        </row>
        <row r="9">
          <cell r="D9" t="str">
            <v>Yes</v>
          </cell>
        </row>
        <row r="10">
          <cell r="D10" t="str">
            <v>Yes</v>
          </cell>
        </row>
        <row r="12">
          <cell r="C12" t="str">
            <v>SFPaymentTeam@azed.gov</v>
          </cell>
        </row>
        <row r="13">
          <cell r="D13" t="str">
            <v>Yes</v>
          </cell>
        </row>
        <row r="14">
          <cell r="C14" t="str">
            <v>A district authorized by ADE to continue participation in Dropout Prevention Programs for FY 2024 pursuant to Laws 1992, Ch. 305, §32 and Laws 2000, Ch. 398, §2, must budget the additional amount on this line.</v>
          </cell>
        </row>
        <row r="17">
          <cell r="C17" t="str">
            <v>http://www.azed.gov/mowr/</v>
          </cell>
        </row>
        <row r="22">
          <cell r="C22" t="str">
            <v>Districts participating in the National School Lunch Program are required to budget a portion of their state revenues to support the operation of their food service program. Districts should budget in the M&amp;O Fund any amounts that will be expended during the 2024 school year for the operation of the food service program. Any questions related to the state matching requirements should be directed to ADE’s Health &amp; Nutrition Services at (602) 542‑8700.
Budget Revision
Districts that have not already budgeted for the state matching requirements, should include any amounts to be expended for their food service program in the M&amp;O Fund on this line before May 15. ADE’s Health &amp; Nutrition Services will verify that amounts budgeted were spent when the annual financial reports are submitted.</v>
          </cell>
          <cell r="D22" t="str">
            <v>Yes</v>
          </cell>
        </row>
        <row r="23">
          <cell r="C23" t="str">
            <v xml:space="preserve">The Classroom Site Fund (CSF) is a budget-controlled fund that must be used to supplement, rather than supplant, existing monies. Expenditures made from the Classroom Site Fund (010) should be made in accordance with the requirements of A.R.S. §15-977. Districts may establish any CSF subfunds 011-019 to track monies for specific allowable purposes or separately account for carryover balances and other one-time CSF monies.  One total budget for all Classroom Site monies must be reported here, in Fund 010. 
 </v>
          </cell>
        </row>
        <row r="24">
          <cell r="C24" t="str">
            <v xml:space="preserve">Line 4 should include expenditures for teacher liability insurance premiums made from Fund 010. </v>
          </cell>
        </row>
        <row r="26">
          <cell r="D26" t="str">
            <v>Yes</v>
          </cell>
        </row>
        <row r="27">
          <cell r="D27" t="str">
            <v>Yes</v>
          </cell>
        </row>
        <row r="31">
          <cell r="E31" t="str">
            <v>Added a column for districts to budget costs for Short-term Noninstructional Software Subscriptions.</v>
          </cell>
        </row>
        <row r="32">
          <cell r="D32" t="str">
            <v>Yes</v>
          </cell>
        </row>
        <row r="38">
          <cell r="E38" t="str">
            <v>Laws 2023, Chapter 142, §2 repealed A.R.S. §15-249.08, which had established Fund 457—Results-based Funding. Removed line 27 on Page 6 and renumbered the lines below.</v>
          </cell>
        </row>
        <row r="47">
          <cell r="D47" t="str">
            <v>Yes</v>
          </cell>
        </row>
        <row r="49">
          <cell r="D49" t="str">
            <v>Yes</v>
          </cell>
        </row>
        <row r="57">
          <cell r="D57" t="str">
            <v>Yes</v>
          </cell>
        </row>
        <row r="58">
          <cell r="D58" t="str">
            <v>Yes</v>
          </cell>
        </row>
        <row r="60">
          <cell r="D60"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trict Contacts"/>
      <sheetName val="Page 1"/>
      <sheetName val="Page 2"/>
      <sheetName val="Page 3"/>
      <sheetName val="Page 4"/>
      <sheetName val="Page 5"/>
      <sheetName val="Page 6"/>
      <sheetName val="Page 7"/>
      <sheetName val="Page 8"/>
      <sheetName val="Supplement"/>
      <sheetName val="Summary Page 1"/>
      <sheetName val="Summary Page 2"/>
      <sheetName val="Truth in Tax"/>
      <sheetName val="Data Entry"/>
      <sheetName val="Calculations"/>
      <sheetName val="BSA55"/>
      <sheetName val="Instructions"/>
      <sheetName val="2023EXPBUD"/>
    </sheetNames>
    <definedNames>
      <definedName name="SummAdjacentWaysPY" refersTo="='Summary Page 2'!$C$15"/>
      <definedName name="SummAuxOpsPY" refersTo="='Summary Page 2'!$C$18"/>
      <definedName name="SummBondBuildingPY" refersTo="='Summary Page 2'!$C$19"/>
      <definedName name="SummCompInstrPY" refersTo="='Summary Page 2'!$C$9"/>
      <definedName name="SummCSFPY" refersTo="='Summary Page 2'!$C$10"/>
      <definedName name="SummDebtServicePY" refersTo="='Summary Page 2'!$C$16"/>
      <definedName name="SummELLPY" refersTo="='Summary Page 2'!$C$8"/>
      <definedName name="SummFedProjectsPY" refersTo="='Summary Page 2'!$C$11"/>
      <definedName name="SummFoodServicePY" refersTo="='Summary Page 2'!$C$20"/>
      <definedName name="SummInstImprovPY" refersTo="='Summary Page 2'!$C$7"/>
      <definedName name="SummMOPY" refersTo="='Summary Page 2'!$C$6"/>
      <definedName name="SummNSFPY" refersTo="='Summary Page 2'!$C$14"/>
      <definedName name="SummOtherPY" refersTo="='Summary Page 2'!$C$21"/>
      <definedName name="SummSchoolPlantPY" refersTo="='Summary Page 2'!$C$17"/>
      <definedName name="SummStateProjectsPY" refersTo="='Summary Page 2'!$C$12"/>
      <definedName name="SummUCOPY" refersTo="='Summary Page 2'!$C$13"/>
    </definedNames>
    <sheetDataSet>
      <sheetData sheetId="0"/>
      <sheetData sheetId="1"/>
      <sheetData sheetId="2">
        <row r="7">
          <cell r="L7">
            <v>2802167</v>
          </cell>
        </row>
      </sheetData>
      <sheetData sheetId="3">
        <row r="7">
          <cell r="G7">
            <v>533182</v>
          </cell>
        </row>
      </sheetData>
      <sheetData sheetId="4">
        <row r="6">
          <cell r="K6">
            <v>319660</v>
          </cell>
        </row>
      </sheetData>
      <sheetData sheetId="5">
        <row r="8">
          <cell r="K8">
            <v>0</v>
          </cell>
        </row>
      </sheetData>
      <sheetData sheetId="6">
        <row r="8">
          <cell r="G8">
            <v>0</v>
          </cell>
        </row>
      </sheetData>
      <sheetData sheetId="7">
        <row r="5">
          <cell r="T5">
            <v>0</v>
          </cell>
        </row>
      </sheetData>
      <sheetData sheetId="8">
        <row r="36">
          <cell r="J36">
            <v>0</v>
          </cell>
        </row>
      </sheetData>
      <sheetData sheetId="9">
        <row r="32">
          <cell r="K32">
            <v>1802516</v>
          </cell>
        </row>
      </sheetData>
      <sheetData sheetId="10">
        <row r="7">
          <cell r="M7">
            <v>0</v>
          </cell>
        </row>
      </sheetData>
      <sheetData sheetId="11">
        <row r="32">
          <cell r="C32">
            <v>2046039</v>
          </cell>
          <cell r="E32">
            <v>252500</v>
          </cell>
        </row>
        <row r="34">
          <cell r="C34">
            <v>333063</v>
          </cell>
          <cell r="E34">
            <v>20500</v>
          </cell>
        </row>
        <row r="36">
          <cell r="C36">
            <v>646</v>
          </cell>
          <cell r="E36">
            <v>48580</v>
          </cell>
        </row>
        <row r="37">
          <cell r="C37">
            <v>847563</v>
          </cell>
          <cell r="E37">
            <v>97500</v>
          </cell>
        </row>
        <row r="38">
          <cell r="C38">
            <v>450000</v>
          </cell>
          <cell r="E38">
            <v>491016</v>
          </cell>
        </row>
        <row r="39">
          <cell r="C39">
            <v>0</v>
          </cell>
          <cell r="E39">
            <v>0</v>
          </cell>
        </row>
        <row r="40">
          <cell r="C40">
            <v>126725</v>
          </cell>
          <cell r="E40">
            <v>7209</v>
          </cell>
        </row>
        <row r="41">
          <cell r="C41">
            <v>0</v>
          </cell>
          <cell r="E41">
            <v>0</v>
          </cell>
        </row>
        <row r="42">
          <cell r="C42">
            <v>0</v>
          </cell>
          <cell r="E42">
            <v>0</v>
          </cell>
        </row>
        <row r="43">
          <cell r="C43">
            <v>0</v>
          </cell>
          <cell r="E43">
            <v>0</v>
          </cell>
        </row>
        <row r="45">
          <cell r="C45">
            <v>237410</v>
          </cell>
          <cell r="E45">
            <v>12000</v>
          </cell>
        </row>
        <row r="47">
          <cell r="C47">
            <v>124350</v>
          </cell>
          <cell r="E47">
            <v>78800</v>
          </cell>
        </row>
        <row r="49">
          <cell r="C49">
            <v>54500</v>
          </cell>
          <cell r="E49">
            <v>3300</v>
          </cell>
        </row>
        <row r="50">
          <cell r="C50">
            <v>0</v>
          </cell>
          <cell r="E50">
            <v>3000</v>
          </cell>
        </row>
        <row r="51">
          <cell r="C51">
            <v>0</v>
          </cell>
          <cell r="E51">
            <v>0</v>
          </cell>
        </row>
        <row r="52">
          <cell r="C52">
            <v>0</v>
          </cell>
          <cell r="E52">
            <v>0</v>
          </cell>
        </row>
        <row r="53">
          <cell r="C53">
            <v>0</v>
          </cell>
          <cell r="E53">
            <v>0</v>
          </cell>
        </row>
        <row r="55">
          <cell r="C55">
            <v>422885</v>
          </cell>
          <cell r="E55">
            <v>91665</v>
          </cell>
        </row>
        <row r="56">
          <cell r="C56">
            <v>0</v>
          </cell>
          <cell r="E56">
            <v>0</v>
          </cell>
        </row>
        <row r="57">
          <cell r="C57">
            <v>0</v>
          </cell>
          <cell r="E57">
            <v>0</v>
          </cell>
        </row>
        <row r="58">
          <cell r="C58">
            <v>0</v>
          </cell>
          <cell r="E58">
            <v>0</v>
          </cell>
        </row>
        <row r="60">
          <cell r="C60">
            <v>53000</v>
          </cell>
          <cell r="E60">
            <v>0</v>
          </cell>
        </row>
      </sheetData>
      <sheetData sheetId="12">
        <row r="6">
          <cell r="C6">
            <v>5802251</v>
          </cell>
        </row>
        <row r="7">
          <cell r="C7">
            <v>50000</v>
          </cell>
        </row>
        <row r="8">
          <cell r="C8">
            <v>0</v>
          </cell>
        </row>
        <row r="9">
          <cell r="C9">
            <v>0</v>
          </cell>
        </row>
        <row r="10">
          <cell r="C10">
            <v>357097</v>
          </cell>
        </row>
        <row r="11">
          <cell r="C11">
            <v>1422393</v>
          </cell>
        </row>
        <row r="12">
          <cell r="C12">
            <v>86007</v>
          </cell>
        </row>
        <row r="13">
          <cell r="C13">
            <v>1382653</v>
          </cell>
        </row>
        <row r="14">
          <cell r="C14">
            <v>0</v>
          </cell>
        </row>
        <row r="15">
          <cell r="C15">
            <v>0</v>
          </cell>
        </row>
        <row r="16">
          <cell r="C16">
            <v>0</v>
          </cell>
        </row>
        <row r="17">
          <cell r="C17">
            <v>0</v>
          </cell>
        </row>
        <row r="18">
          <cell r="C18">
            <v>0</v>
          </cell>
        </row>
        <row r="19">
          <cell r="C19">
            <v>0</v>
          </cell>
        </row>
        <row r="20">
          <cell r="C20">
            <v>175000</v>
          </cell>
        </row>
        <row r="21">
          <cell r="C21">
            <v>139570</v>
          </cell>
        </row>
      </sheetData>
      <sheetData sheetId="13">
        <row r="7">
          <cell r="I7">
            <v>3245208</v>
          </cell>
        </row>
      </sheetData>
      <sheetData sheetId="14"/>
      <sheetData sheetId="15"/>
      <sheetData sheetId="16">
        <row r="91">
          <cell r="E91">
            <v>320117.55</v>
          </cell>
        </row>
      </sheetData>
      <sheetData sheetId="17"/>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taylor@pinalcso.org" TargetMode="External"/><Relationship Id="rId1" Type="http://schemas.openxmlformats.org/officeDocument/2006/relationships/hyperlink" Target="https://azauditor.sharepoint.com/sites/ASDonline/School%20District%20Budget/FY%202024%20Budget%20Forms/Prohibited%20formula%20characters/Files%20from%20ADE%203-27-23/Summ_Page1_StudentC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4"/>
  <sheetViews>
    <sheetView showGridLines="0" tabSelected="1" workbookViewId="0">
      <selection activeCell="A7" sqref="A7:L7"/>
    </sheetView>
  </sheetViews>
  <sheetFormatPr defaultColWidth="9.42578125" defaultRowHeight="12.75"/>
  <cols>
    <col min="1" max="1" width="20.28515625" style="6" customWidth="1"/>
    <col min="2" max="2" width="6.42578125" style="6" customWidth="1"/>
    <col min="3" max="3" width="10.5703125" style="6" customWidth="1"/>
    <col min="4" max="5" width="11" style="6" customWidth="1"/>
    <col min="6" max="7" width="5.7109375" style="6" customWidth="1"/>
    <col min="8" max="8" width="10.7109375" style="6" customWidth="1"/>
    <col min="9" max="9" width="11" style="6" customWidth="1"/>
    <col min="10" max="10" width="12.7109375" style="6" customWidth="1"/>
    <col min="11" max="12" width="5.7109375" style="6" customWidth="1"/>
    <col min="13" max="13" width="9.42578125" style="6" customWidth="1"/>
    <col min="14" max="14" width="7.5703125" style="6" customWidth="1"/>
    <col min="15" max="15" width="13" style="6" customWidth="1"/>
    <col min="16" max="17" width="9.42578125" style="6" customWidth="1"/>
    <col min="18" max="18" width="13.5703125" style="6" customWidth="1"/>
    <col min="19" max="20" width="9.42578125" style="6" customWidth="1"/>
    <col min="21" max="16384" width="9.42578125" style="6"/>
  </cols>
  <sheetData>
    <row r="1" spans="1:24" ht="12.75" customHeight="1">
      <c r="A1"/>
      <c r="B1" s="4" t="s">
        <v>17</v>
      </c>
      <c r="C1" s="5" t="str">
        <f>[1]Cover!$C$1</f>
        <v>Mary C. O'Brien Accommodation School District</v>
      </c>
      <c r="D1" s="5"/>
      <c r="F1"/>
      <c r="G1"/>
      <c r="H1"/>
      <c r="I1" s="4" t="s">
        <v>16</v>
      </c>
      <c r="J1" s="7" t="s">
        <v>141</v>
      </c>
      <c r="K1" s="8"/>
      <c r="L1" s="9"/>
      <c r="M1" s="10" t="s">
        <v>131</v>
      </c>
      <c r="N1" s="9"/>
      <c r="O1"/>
      <c r="P1" s="11"/>
      <c r="Q1" s="11"/>
      <c r="R1" s="11"/>
      <c r="S1" s="11"/>
      <c r="T1" s="11"/>
      <c r="U1" s="11"/>
      <c r="V1" s="11"/>
      <c r="W1" s="11"/>
      <c r="X1" s="12"/>
    </row>
    <row r="2" spans="1:24">
      <c r="A2" s="4"/>
      <c r="B2" s="4"/>
      <c r="C2" s="13"/>
      <c r="D2" s="4"/>
      <c r="E2" s="4"/>
      <c r="F2"/>
      <c r="G2"/>
      <c r="H2"/>
      <c r="I2" s="14"/>
      <c r="J2" s="9"/>
      <c r="K2" s="9"/>
      <c r="L2" s="9"/>
      <c r="M2" s="10" t="s">
        <v>132</v>
      </c>
      <c r="N2" s="9"/>
      <c r="O2"/>
      <c r="P2" s="11"/>
      <c r="Q2" s="11"/>
      <c r="R2" s="11"/>
      <c r="S2" s="11"/>
      <c r="T2" s="11"/>
      <c r="U2" s="11"/>
      <c r="V2" s="11"/>
      <c r="W2" s="11"/>
      <c r="X2" s="12"/>
    </row>
    <row r="3" spans="1:24" ht="29.25" customHeight="1">
      <c r="A3" s="200" t="str">
        <f>IF(ISNUMBER(SEARCH("Revised*",K22)),M1,M2)</f>
        <v>This is a notification that the above mentioned School District will be having a public hearing and board meeting to adopt its Fiscal Year 2024 Expenditure Budget.</v>
      </c>
      <c r="B3" s="200"/>
      <c r="C3" s="200"/>
      <c r="D3" s="200"/>
      <c r="E3" s="200"/>
      <c r="F3" s="200"/>
      <c r="G3" s="200"/>
      <c r="H3" s="200"/>
      <c r="I3" s="200"/>
      <c r="J3" s="200"/>
      <c r="K3" s="200"/>
      <c r="L3" s="200"/>
      <c r="M3"/>
      <c r="N3" s="11"/>
      <c r="O3"/>
      <c r="P3" s="11"/>
      <c r="Q3" s="11"/>
      <c r="R3" s="11"/>
      <c r="S3" s="11"/>
      <c r="T3" s="11"/>
      <c r="U3" s="11"/>
      <c r="V3" s="11"/>
      <c r="W3" s="11"/>
      <c r="X3" s="11"/>
    </row>
    <row r="4" spans="1:24">
      <c r="A4"/>
      <c r="B4"/>
      <c r="C4"/>
      <c r="D4"/>
      <c r="E4"/>
      <c r="F4"/>
      <c r="G4"/>
      <c r="H4"/>
      <c r="I4"/>
      <c r="J4"/>
      <c r="K4"/>
      <c r="L4"/>
      <c r="M4"/>
      <c r="N4"/>
      <c r="O4"/>
      <c r="P4"/>
      <c r="Q4"/>
      <c r="R4"/>
      <c r="S4"/>
      <c r="T4"/>
      <c r="U4"/>
      <c r="V4"/>
      <c r="W4"/>
      <c r="X4"/>
    </row>
    <row r="5" spans="1:24">
      <c r="A5"/>
      <c r="B5" s="4" t="s">
        <v>2</v>
      </c>
      <c r="C5" s="211">
        <v>45106</v>
      </c>
      <c r="D5" s="211"/>
      <c r="E5"/>
      <c r="F5"/>
      <c r="G5"/>
      <c r="H5" s="4" t="s">
        <v>3</v>
      </c>
      <c r="I5" s="212">
        <v>0.33333333333333331</v>
      </c>
      <c r="J5" s="212"/>
      <c r="K5" s="15"/>
      <c r="L5"/>
      <c r="M5"/>
      <c r="N5"/>
      <c r="O5"/>
      <c r="P5"/>
      <c r="Q5"/>
      <c r="R5"/>
      <c r="S5"/>
      <c r="T5"/>
      <c r="U5"/>
      <c r="V5"/>
      <c r="W5"/>
      <c r="X5"/>
    </row>
    <row r="6" spans="1:24">
      <c r="A6" s="4"/>
      <c r="B6" s="4"/>
      <c r="C6"/>
      <c r="D6"/>
      <c r="E6"/>
      <c r="F6"/>
      <c r="G6"/>
      <c r="H6"/>
      <c r="I6"/>
      <c r="J6"/>
      <c r="K6"/>
      <c r="L6"/>
      <c r="M6"/>
      <c r="N6"/>
      <c r="O6"/>
      <c r="P6"/>
      <c r="Q6"/>
      <c r="R6"/>
      <c r="S6"/>
      <c r="T6"/>
      <c r="U6"/>
      <c r="V6"/>
      <c r="W6"/>
      <c r="X6"/>
    </row>
    <row r="7" spans="1:24">
      <c r="A7" s="213" t="s">
        <v>15</v>
      </c>
      <c r="B7" s="213"/>
      <c r="C7" s="213"/>
      <c r="D7" s="213"/>
      <c r="E7" s="213"/>
      <c r="F7" s="213"/>
      <c r="G7" s="213"/>
      <c r="H7" s="213"/>
      <c r="I7" s="213"/>
      <c r="J7" s="213"/>
      <c r="K7" s="213"/>
      <c r="L7" s="213"/>
      <c r="M7"/>
      <c r="N7"/>
      <c r="O7"/>
      <c r="P7"/>
      <c r="Q7"/>
      <c r="R7"/>
      <c r="S7"/>
      <c r="T7"/>
      <c r="U7"/>
      <c r="V7"/>
      <c r="W7"/>
      <c r="X7"/>
    </row>
    <row r="8" spans="1:24">
      <c r="A8"/>
      <c r="B8" s="4" t="s">
        <v>4</v>
      </c>
      <c r="C8" s="314" t="s">
        <v>142</v>
      </c>
      <c r="D8" s="209"/>
      <c r="E8" s="209"/>
      <c r="F8" s="209"/>
      <c r="G8" s="209"/>
      <c r="H8" s="209"/>
      <c r="I8" s="209"/>
      <c r="J8"/>
      <c r="K8"/>
      <c r="L8"/>
      <c r="M8"/>
      <c r="N8"/>
      <c r="O8"/>
      <c r="P8"/>
      <c r="Q8"/>
      <c r="R8"/>
      <c r="S8"/>
      <c r="T8"/>
      <c r="U8"/>
      <c r="V8"/>
      <c r="W8"/>
      <c r="X8"/>
    </row>
    <row r="9" spans="1:24">
      <c r="A9"/>
      <c r="B9" s="4" t="s">
        <v>5</v>
      </c>
      <c r="C9" s="314" t="s">
        <v>143</v>
      </c>
      <c r="D9" s="209"/>
      <c r="E9" s="4" t="s">
        <v>7</v>
      </c>
      <c r="F9" s="315" t="s">
        <v>144</v>
      </c>
      <c r="G9" s="187"/>
      <c r="H9" s="187"/>
      <c r="I9" s="187"/>
      <c r="J9"/>
      <c r="K9"/>
      <c r="L9"/>
      <c r="M9"/>
      <c r="N9"/>
      <c r="O9"/>
      <c r="P9"/>
      <c r="Q9"/>
      <c r="R9"/>
      <c r="S9"/>
      <c r="T9"/>
      <c r="U9"/>
      <c r="V9"/>
      <c r="W9"/>
      <c r="X9"/>
    </row>
    <row r="10" spans="1:24">
      <c r="A10"/>
      <c r="B10" s="4" t="s">
        <v>6</v>
      </c>
      <c r="C10" s="316" t="s">
        <v>145</v>
      </c>
      <c r="D10" s="210"/>
      <c r="E10" s="4" t="s">
        <v>8</v>
      </c>
      <c r="F10" s="16" t="s">
        <v>0</v>
      </c>
      <c r="G10" s="13"/>
      <c r="H10" s="4" t="s">
        <v>9</v>
      </c>
      <c r="I10" s="1">
        <v>85132</v>
      </c>
      <c r="J10"/>
      <c r="K10"/>
      <c r="L10"/>
      <c r="M10"/>
      <c r="N10"/>
      <c r="O10"/>
      <c r="P10"/>
      <c r="Q10"/>
      <c r="R10"/>
      <c r="S10"/>
      <c r="T10"/>
      <c r="U10"/>
      <c r="V10"/>
      <c r="W10"/>
      <c r="X10"/>
    </row>
    <row r="11" spans="1:24">
      <c r="A11" s="4"/>
      <c r="B11" s="4"/>
      <c r="C11" s="4"/>
      <c r="D11" s="13"/>
      <c r="E11" s="4"/>
      <c r="F11" s="13"/>
      <c r="G11" s="13"/>
      <c r="H11"/>
      <c r="I11"/>
      <c r="J11"/>
      <c r="K11"/>
      <c r="L11"/>
      <c r="M11"/>
      <c r="N11"/>
      <c r="O11"/>
      <c r="P11"/>
      <c r="Q11"/>
      <c r="R11"/>
      <c r="S11"/>
      <c r="T11"/>
      <c r="U11"/>
      <c r="V11"/>
      <c r="W11"/>
      <c r="X11"/>
    </row>
    <row r="12" spans="1:24" ht="17.25" customHeight="1">
      <c r="A12" s="186" t="s">
        <v>1</v>
      </c>
      <c r="B12" s="186"/>
      <c r="C12" s="186"/>
      <c r="D12" s="186"/>
      <c r="E12" s="186"/>
      <c r="F12" s="186"/>
      <c r="G12" s="186"/>
      <c r="H12" s="186"/>
      <c r="I12" s="186"/>
      <c r="J12" s="186"/>
      <c r="K12" s="186"/>
      <c r="L12" s="186"/>
      <c r="M12"/>
      <c r="N12"/>
      <c r="O12"/>
      <c r="P12"/>
      <c r="Q12"/>
      <c r="R12"/>
      <c r="S12"/>
      <c r="T12"/>
      <c r="U12"/>
      <c r="V12"/>
      <c r="W12"/>
      <c r="X12"/>
    </row>
    <row r="13" spans="1:24">
      <c r="A13"/>
      <c r="B13" s="4" t="s">
        <v>10</v>
      </c>
      <c r="C13" s="315" t="s">
        <v>146</v>
      </c>
      <c r="D13" s="187"/>
      <c r="H13" s="4" t="s">
        <v>12</v>
      </c>
      <c r="I13" s="315" t="s">
        <v>147</v>
      </c>
      <c r="J13" s="187"/>
      <c r="K13" s="13"/>
      <c r="L13"/>
      <c r="M13"/>
      <c r="N13"/>
      <c r="O13"/>
      <c r="P13"/>
      <c r="Q13"/>
      <c r="R13"/>
      <c r="S13"/>
      <c r="T13"/>
      <c r="U13"/>
      <c r="V13"/>
      <c r="W13"/>
      <c r="X13"/>
    </row>
    <row r="14" spans="1:24">
      <c r="A14"/>
      <c r="B14" s="4" t="s">
        <v>11</v>
      </c>
      <c r="C14" s="317" t="s">
        <v>148</v>
      </c>
      <c r="D14" s="199"/>
      <c r="E14"/>
      <c r="F14"/>
      <c r="G14"/>
      <c r="H14" s="4" t="s">
        <v>13</v>
      </c>
      <c r="I14" s="199"/>
      <c r="J14" s="199"/>
      <c r="K14" s="13"/>
      <c r="L14"/>
      <c r="M14"/>
      <c r="N14"/>
      <c r="O14"/>
      <c r="P14"/>
      <c r="Q14"/>
      <c r="R14"/>
      <c r="S14"/>
      <c r="T14"/>
      <c r="U14"/>
      <c r="V14"/>
      <c r="W14"/>
      <c r="X14"/>
    </row>
    <row r="15" spans="1:24">
      <c r="H15"/>
      <c r="I15"/>
      <c r="J15"/>
      <c r="K15"/>
      <c r="L15"/>
      <c r="M15"/>
      <c r="N15"/>
      <c r="O15"/>
      <c r="P15"/>
      <c r="Q15"/>
      <c r="R15"/>
      <c r="S15"/>
      <c r="T15"/>
      <c r="U15"/>
      <c r="V15"/>
      <c r="W15"/>
      <c r="X15"/>
    </row>
    <row r="16" spans="1:24" ht="27.75" customHeight="1">
      <c r="A16" s="203" t="s">
        <v>18</v>
      </c>
      <c r="B16" s="203"/>
      <c r="C16" s="203"/>
      <c r="D16" s="203"/>
      <c r="E16" s="203"/>
      <c r="F16" s="203"/>
      <c r="G16" s="203"/>
      <c r="H16" s="203"/>
      <c r="I16" s="203"/>
      <c r="J16" s="203"/>
      <c r="K16" s="203"/>
      <c r="L16" s="203"/>
      <c r="M16" s="17"/>
      <c r="N16" s="17"/>
      <c r="O16" s="17"/>
      <c r="P16"/>
      <c r="Q16"/>
      <c r="R16"/>
      <c r="S16"/>
      <c r="T16"/>
      <c r="U16"/>
      <c r="V16"/>
      <c r="W16"/>
      <c r="X16"/>
    </row>
    <row r="17" spans="1:24">
      <c r="H17"/>
      <c r="I17"/>
      <c r="J17"/>
      <c r="K17"/>
      <c r="L17"/>
      <c r="M17"/>
      <c r="N17"/>
      <c r="O17"/>
      <c r="P17"/>
      <c r="Q17"/>
      <c r="R17"/>
      <c r="S17"/>
      <c r="T17"/>
      <c r="U17"/>
      <c r="V17"/>
      <c r="W17"/>
      <c r="X17"/>
    </row>
    <row r="18" spans="1:24">
      <c r="A18" s="204" t="s">
        <v>14</v>
      </c>
      <c r="B18" s="204"/>
      <c r="C18" s="204"/>
      <c r="D18" s="204"/>
      <c r="E18" s="204"/>
      <c r="F18" s="204"/>
      <c r="G18" s="18"/>
      <c r="H18"/>
      <c r="I18"/>
      <c r="J18"/>
      <c r="K18"/>
      <c r="L18"/>
      <c r="M18"/>
      <c r="N18"/>
      <c r="O18"/>
      <c r="P18"/>
      <c r="Q18"/>
      <c r="R18"/>
      <c r="S18"/>
      <c r="T18"/>
      <c r="U18"/>
      <c r="V18"/>
      <c r="W18"/>
      <c r="X18"/>
    </row>
    <row r="19" spans="1:24" ht="39" customHeight="1">
      <c r="A19" s="205"/>
      <c r="B19" s="206"/>
      <c r="C19" s="206"/>
      <c r="D19" s="206"/>
      <c r="E19" s="206"/>
      <c r="F19" s="206"/>
      <c r="G19" s="206"/>
      <c r="H19" s="206"/>
      <c r="I19" s="206"/>
      <c r="J19" s="206"/>
      <c r="K19" s="206"/>
      <c r="L19" s="207"/>
      <c r="M19"/>
      <c r="N19"/>
      <c r="O19"/>
      <c r="P19"/>
      <c r="Q19"/>
      <c r="R19"/>
      <c r="S19"/>
      <c r="T19"/>
      <c r="U19"/>
      <c r="V19"/>
      <c r="W19"/>
      <c r="X19"/>
    </row>
    <row r="20" spans="1:24">
      <c r="A20"/>
      <c r="B20"/>
      <c r="C20"/>
      <c r="D20"/>
      <c r="E20"/>
      <c r="F20"/>
      <c r="G20"/>
      <c r="H20"/>
      <c r="I20"/>
      <c r="J20"/>
      <c r="K20"/>
      <c r="L20"/>
      <c r="M20" s="19" t="s">
        <v>23</v>
      </c>
      <c r="N20"/>
      <c r="O20"/>
      <c r="P20"/>
      <c r="Q20"/>
      <c r="R20"/>
      <c r="S20"/>
      <c r="T20"/>
      <c r="U20"/>
      <c r="V20"/>
      <c r="W20"/>
      <c r="X20"/>
    </row>
    <row r="21" spans="1:24">
      <c r="A21" s="208" t="str">
        <f>IF(ISNUMBER(SEARCH("Revised*",K22)),M27,M26)</f>
        <v xml:space="preserve"> SUMMARY OF SCHOOL DISTRICT PROPOSED EXPENDITURE BUDGET</v>
      </c>
      <c r="B21" s="208"/>
      <c r="C21" s="208"/>
      <c r="D21" s="208"/>
      <c r="E21" s="208"/>
      <c r="F21" s="208"/>
      <c r="G21" s="208"/>
      <c r="H21" s="208"/>
      <c r="I21"/>
      <c r="J21" s="20" t="s">
        <v>19</v>
      </c>
      <c r="K21" s="190" t="str">
        <f>J1</f>
        <v>110100000</v>
      </c>
      <c r="L21" s="190"/>
      <c r="M21" s="19" t="s">
        <v>113</v>
      </c>
      <c r="N21"/>
      <c r="O21"/>
      <c r="P21"/>
      <c r="Q21"/>
      <c r="R21"/>
      <c r="S21"/>
      <c r="T21"/>
      <c r="U21"/>
      <c r="V21"/>
      <c r="W21"/>
      <c r="X21"/>
    </row>
    <row r="22" spans="1:24">
      <c r="A22" s="21"/>
      <c r="B22" s="21"/>
      <c r="C22" s="22"/>
      <c r="D22" s="22"/>
      <c r="E22" s="22"/>
      <c r="F22" s="22"/>
      <c r="G22" s="22"/>
      <c r="H22" s="22"/>
      <c r="I22"/>
      <c r="J22" s="23" t="s">
        <v>20</v>
      </c>
      <c r="K22" s="191" t="str">
        <f>'[1]Summary Page 1'!$I$2</f>
        <v>Proposed</v>
      </c>
      <c r="L22" s="191"/>
      <c r="M22"/>
      <c r="N22"/>
      <c r="O22"/>
      <c r="P22"/>
      <c r="Q22"/>
      <c r="R22"/>
      <c r="S22"/>
      <c r="T22"/>
      <c r="U22"/>
      <c r="V22"/>
      <c r="W22"/>
      <c r="X22"/>
    </row>
    <row r="23" spans="1:24">
      <c r="A23" s="24" t="s">
        <v>21</v>
      </c>
      <c r="B23" s="188" t="str">
        <f>'[1]Summary Page 1'!$B$3:$D$3</f>
        <v xml:space="preserve">Mary C. O'Brien Accommodation </v>
      </c>
      <c r="C23" s="188"/>
      <c r="D23" s="188"/>
      <c r="E23" s="25" t="s">
        <v>22</v>
      </c>
      <c r="F23" s="313" t="str">
        <f>'[1]Summary Page 1'!$F$3</f>
        <v>Pinal</v>
      </c>
      <c r="G23" s="214"/>
      <c r="H23" s="26" t="s">
        <v>136</v>
      </c>
      <c r="I23" s="26"/>
      <c r="J23" s="26"/>
      <c r="K23" s="26"/>
      <c r="L23"/>
      <c r="M23" s="19" t="s">
        <v>133</v>
      </c>
      <c r="N23"/>
      <c r="O23"/>
      <c r="P23"/>
      <c r="Q23"/>
      <c r="R23"/>
      <c r="S23"/>
      <c r="T23"/>
      <c r="U23"/>
      <c r="V23"/>
      <c r="W23"/>
      <c r="X23"/>
    </row>
    <row r="24" spans="1:24">
      <c r="A24" s="27" t="str">
        <f>IF(ISNUMBER(SEARCH("Revised*",K22)),M20,M21)</f>
        <v>proposed by the Governing Board on</v>
      </c>
      <c r="B24" s="27"/>
      <c r="C24" s="2" t="s">
        <v>149</v>
      </c>
      <c r="D24" s="27" t="str">
        <f>IF(ISNUMBER(SEARCH("Revised*",K22)),M23,M24)</f>
        <v>, 2023, and that the complete Proposed Expenditure Budget may be reviewed by contacting</v>
      </c>
      <c r="E24" s="27"/>
      <c r="F24"/>
      <c r="G24" s="27"/>
      <c r="H24" s="27"/>
      <c r="I24" s="27"/>
      <c r="J24" s="27"/>
      <c r="K24" s="27"/>
      <c r="L24" s="27"/>
      <c r="M24" s="19" t="s">
        <v>140</v>
      </c>
      <c r="N24"/>
      <c r="O24"/>
      <c r="P24"/>
      <c r="Q24"/>
      <c r="R24"/>
      <c r="S24"/>
      <c r="T24"/>
      <c r="U24"/>
      <c r="V24"/>
      <c r="W24"/>
      <c r="X24"/>
    </row>
    <row r="25" spans="1:24">
      <c r="A25" s="3" t="str">
        <f>'[1]Summary Page 1'!$A$5</f>
        <v>Tonya L. Taylor</v>
      </c>
      <c r="B25" s="189" t="s">
        <v>114</v>
      </c>
      <c r="C25" s="189"/>
      <c r="D25" s="189"/>
      <c r="E25" s="278" t="s">
        <v>147</v>
      </c>
      <c r="F25" s="278"/>
      <c r="G25" s="278"/>
      <c r="H25" s="201" t="s">
        <v>24</v>
      </c>
      <c r="I25" s="201"/>
      <c r="J25" s="201"/>
      <c r="K25" s="27"/>
      <c r="L25"/>
      <c r="M25"/>
      <c r="N25"/>
      <c r="O25"/>
      <c r="P25"/>
      <c r="Q25"/>
      <c r="R25"/>
      <c r="S25"/>
      <c r="T25"/>
      <c r="U25"/>
      <c r="V25"/>
      <c r="W25"/>
      <c r="X25"/>
    </row>
    <row r="26" spans="1:24">
      <c r="A26" s="28"/>
      <c r="B26" s="28"/>
      <c r="C26" s="29"/>
      <c r="D26" s="29"/>
      <c r="E26" s="202"/>
      <c r="F26" s="202"/>
      <c r="G26" s="202"/>
      <c r="H26" s="202"/>
      <c r="I26" s="28"/>
      <c r="J26" s="28"/>
      <c r="K26" s="28"/>
      <c r="L26"/>
      <c r="M26" s="30" t="s">
        <v>117</v>
      </c>
      <c r="N26"/>
      <c r="O26"/>
      <c r="P26"/>
      <c r="Q26"/>
      <c r="R26"/>
      <c r="S26"/>
      <c r="T26"/>
      <c r="U26"/>
      <c r="V26"/>
      <c r="W26"/>
      <c r="X26"/>
    </row>
    <row r="27" spans="1:24">
      <c r="A27" s="28"/>
      <c r="B27" s="28"/>
      <c r="C27" s="29"/>
      <c r="D27" s="29"/>
      <c r="E27" s="192" t="s">
        <v>25</v>
      </c>
      <c r="F27" s="192"/>
      <c r="G27" s="192"/>
      <c r="H27" s="192"/>
      <c r="I27" s="28"/>
      <c r="J27" s="28"/>
      <c r="K27" s="28"/>
      <c r="L27"/>
      <c r="M27" s="30" t="s">
        <v>116</v>
      </c>
      <c r="N27"/>
      <c r="O27"/>
      <c r="P27"/>
      <c r="Q27"/>
      <c r="R27"/>
      <c r="S27"/>
      <c r="T27"/>
      <c r="U27"/>
      <c r="V27"/>
      <c r="W27"/>
      <c r="X27"/>
    </row>
    <row r="28" spans="1:24" ht="8.25" customHeight="1">
      <c r="A28" s="31"/>
      <c r="B28" s="31"/>
      <c r="C28" s="31"/>
      <c r="D28" s="31"/>
      <c r="E28" s="31"/>
      <c r="F28" s="31"/>
      <c r="G28" s="31"/>
      <c r="H28" s="28"/>
      <c r="I28" s="28"/>
      <c r="J28" s="28"/>
      <c r="K28" s="28"/>
      <c r="L28"/>
      <c r="M28"/>
      <c r="N28"/>
      <c r="O28"/>
      <c r="P28"/>
      <c r="Q28"/>
      <c r="R28"/>
      <c r="S28"/>
      <c r="T28"/>
      <c r="U28"/>
      <c r="V28"/>
      <c r="W28"/>
      <c r="X28"/>
    </row>
    <row r="29" spans="1:24" ht="11.25" customHeight="1">
      <c r="A29" s="32" t="s">
        <v>26</v>
      </c>
      <c r="B29" s="33"/>
      <c r="C29" s="34"/>
      <c r="D29" s="35" t="s">
        <v>28</v>
      </c>
      <c r="E29" s="35" t="s">
        <v>29</v>
      </c>
      <c r="F29" s="36" t="s">
        <v>127</v>
      </c>
      <c r="G29" s="37"/>
      <c r="H29" s="38"/>
      <c r="I29" s="39"/>
      <c r="J29" s="39"/>
      <c r="K29" s="39"/>
      <c r="L29" s="40"/>
      <c r="M29"/>
      <c r="N29"/>
      <c r="O29"/>
      <c r="P29"/>
      <c r="Q29"/>
      <c r="R29"/>
      <c r="S29"/>
      <c r="T29"/>
      <c r="U29"/>
      <c r="V29"/>
      <c r="W29"/>
      <c r="X29"/>
    </row>
    <row r="30" spans="1:24" ht="9.75" customHeight="1">
      <c r="A30" s="41"/>
      <c r="B30" s="31"/>
      <c r="C30" s="42" t="s">
        <v>137</v>
      </c>
      <c r="D30" s="42" t="s">
        <v>138</v>
      </c>
      <c r="E30" s="42" t="s">
        <v>139</v>
      </c>
      <c r="F30" s="43" t="s">
        <v>134</v>
      </c>
      <c r="G30" s="44"/>
      <c r="H30" s="45"/>
      <c r="I30" s="46"/>
      <c r="K30" s="193">
        <f>[1]!BudgetYearSalarySumm</f>
        <v>65067</v>
      </c>
      <c r="L30" s="194"/>
      <c r="M30"/>
      <c r="N30"/>
      <c r="O30"/>
      <c r="P30"/>
      <c r="Q30"/>
      <c r="R30"/>
      <c r="S30"/>
      <c r="T30"/>
      <c r="U30"/>
      <c r="V30"/>
      <c r="W30"/>
      <c r="X30"/>
    </row>
    <row r="31" spans="1:24" ht="11.25" customHeight="1">
      <c r="A31" s="184" t="s">
        <v>30</v>
      </c>
      <c r="B31" s="47"/>
      <c r="C31" s="48"/>
      <c r="D31" s="48"/>
      <c r="E31" s="49"/>
      <c r="F31" s="43" t="s">
        <v>135</v>
      </c>
      <c r="G31" s="44"/>
      <c r="H31" s="45"/>
      <c r="I31" s="46"/>
      <c r="K31" s="195">
        <f>[1]!PriorYearSalarySumm</f>
        <v>69777</v>
      </c>
      <c r="L31" s="196"/>
      <c r="M31"/>
      <c r="N31"/>
      <c r="O31"/>
      <c r="P31"/>
      <c r="Q31"/>
      <c r="R31"/>
      <c r="S31"/>
      <c r="T31"/>
      <c r="U31"/>
      <c r="V31"/>
      <c r="W31"/>
      <c r="X31"/>
    </row>
    <row r="32" spans="1:24" ht="10.5" customHeight="1">
      <c r="A32" s="185"/>
      <c r="B32" s="50"/>
      <c r="C32" s="51">
        <f>[1]!TwoPriorYearADM</f>
        <v>196.4194</v>
      </c>
      <c r="D32" s="51">
        <f>[1]!PriorYearADM</f>
        <v>202.23060000000001</v>
      </c>
      <c r="E32" s="52">
        <f>[1]!BudgetYearADM</f>
        <v>202.23060000000001</v>
      </c>
      <c r="F32" s="53" t="s">
        <v>103</v>
      </c>
      <c r="G32" s="44"/>
      <c r="H32" s="45"/>
      <c r="I32" s="46"/>
      <c r="K32" s="197">
        <f>[1]!SalaryIncreaseSumm</f>
        <v>-4710</v>
      </c>
      <c r="L32" s="198"/>
      <c r="M32"/>
      <c r="N32"/>
      <c r="O32"/>
      <c r="P32"/>
      <c r="Q32"/>
      <c r="R32"/>
      <c r="S32"/>
      <c r="T32"/>
      <c r="U32"/>
      <c r="V32"/>
      <c r="W32"/>
      <c r="X32"/>
    </row>
    <row r="33" spans="1:24" ht="11.25" customHeight="1">
      <c r="A33" s="54" t="s">
        <v>27</v>
      </c>
      <c r="B33" s="55"/>
      <c r="C33" s="55"/>
      <c r="D33" s="56" t="s">
        <v>39</v>
      </c>
      <c r="E33" s="56" t="s">
        <v>105</v>
      </c>
      <c r="F33" s="53" t="s">
        <v>104</v>
      </c>
      <c r="G33" s="44"/>
      <c r="H33" s="45"/>
      <c r="I33" s="46"/>
      <c r="K33" s="276">
        <f>[1]!PercentageIncreaseSumm</f>
        <v>-7.0000000000000007E-2</v>
      </c>
      <c r="L33" s="277"/>
      <c r="M33"/>
      <c r="N33"/>
      <c r="O33"/>
      <c r="P33"/>
      <c r="Q33"/>
      <c r="R33"/>
      <c r="S33"/>
      <c r="T33"/>
      <c r="U33"/>
      <c r="V33"/>
      <c r="W33"/>
      <c r="X33"/>
    </row>
    <row r="34" spans="1:24" ht="11.25" customHeight="1">
      <c r="A34" s="242" t="s">
        <v>106</v>
      </c>
      <c r="B34" s="243"/>
      <c r="C34" s="244"/>
      <c r="D34" s="225">
        <f>[1]!PrimTaxRatePYSumm</f>
        <v>0</v>
      </c>
      <c r="E34" s="245">
        <f>[1]!EstTaxRateBudgFYSumm</f>
        <v>0</v>
      </c>
      <c r="F34" s="57"/>
      <c r="G34" s="57"/>
      <c r="H34" s="58"/>
      <c r="I34" s="58"/>
      <c r="J34" s="58"/>
      <c r="K34" s="58"/>
      <c r="L34" s="59"/>
      <c r="M34"/>
      <c r="N34"/>
      <c r="O34"/>
      <c r="P34"/>
      <c r="Q34"/>
      <c r="R34"/>
      <c r="S34"/>
      <c r="T34"/>
      <c r="U34"/>
      <c r="V34"/>
      <c r="W34"/>
      <c r="X34"/>
    </row>
    <row r="35" spans="1:24" ht="12.75" customHeight="1">
      <c r="A35" s="242"/>
      <c r="B35" s="243"/>
      <c r="C35" s="244"/>
      <c r="D35" s="226"/>
      <c r="E35" s="246"/>
      <c r="F35" s="257" t="str">
        <f>IF([1]!SalaryCommentsSumm="","",[1]!SalaryCommentsSumm)</f>
        <v xml:space="preserve">Thru attrition, this district experienced long term certified employees retiring and new employees hired at a lower rate of pay.  
However, an average increase of 3% was given to certified employees overall.
</v>
      </c>
      <c r="G35" s="258"/>
      <c r="H35" s="258"/>
      <c r="I35" s="258"/>
      <c r="J35" s="258"/>
      <c r="K35" s="258"/>
      <c r="L35" s="259"/>
      <c r="M35"/>
      <c r="N35"/>
      <c r="O35"/>
      <c r="P35"/>
      <c r="Q35" s="60"/>
      <c r="R35" s="61"/>
      <c r="S35" s="60"/>
      <c r="T35" s="61"/>
      <c r="U35" s="61"/>
      <c r="V35"/>
      <c r="W35"/>
      <c r="X35"/>
    </row>
    <row r="36" spans="1:24" ht="9.75" customHeight="1">
      <c r="A36" s="242"/>
      <c r="B36" s="243"/>
      <c r="C36" s="244"/>
      <c r="D36" s="227"/>
      <c r="E36" s="247"/>
      <c r="F36" s="260"/>
      <c r="G36" s="261"/>
      <c r="H36" s="261"/>
      <c r="I36" s="261"/>
      <c r="J36" s="261"/>
      <c r="K36" s="261"/>
      <c r="L36" s="262"/>
      <c r="M36"/>
      <c r="N36"/>
      <c r="O36"/>
      <c r="P36"/>
      <c r="Q36" s="62"/>
      <c r="R36" s="63"/>
      <c r="S36" s="64"/>
      <c r="T36" s="64"/>
      <c r="U36" s="61"/>
      <c r="V36"/>
      <c r="W36"/>
      <c r="X36"/>
    </row>
    <row r="37" spans="1:24" ht="12" customHeight="1">
      <c r="A37" s="251" t="s">
        <v>115</v>
      </c>
      <c r="B37" s="252"/>
      <c r="C37" s="253"/>
      <c r="D37" s="248">
        <f>[1]!SecTaxRatePYSumm</f>
        <v>0</v>
      </c>
      <c r="E37" s="249">
        <f>[1]!SecTaxRateBudgFYSumm</f>
        <v>0</v>
      </c>
      <c r="F37" s="260"/>
      <c r="G37" s="261"/>
      <c r="H37" s="261"/>
      <c r="I37" s="261"/>
      <c r="J37" s="261"/>
      <c r="K37" s="261"/>
      <c r="L37" s="262"/>
      <c r="M37"/>
      <c r="N37"/>
      <c r="O37"/>
      <c r="P37"/>
      <c r="Q37" s="62"/>
      <c r="R37" s="45"/>
      <c r="S37" s="46"/>
      <c r="U37" s="65"/>
      <c r="V37"/>
      <c r="W37"/>
      <c r="X37"/>
    </row>
    <row r="38" spans="1:24" ht="11.25" customHeight="1">
      <c r="A38" s="251"/>
      <c r="B38" s="252"/>
      <c r="C38" s="253"/>
      <c r="D38" s="226"/>
      <c r="E38" s="246"/>
      <c r="F38" s="260"/>
      <c r="G38" s="261"/>
      <c r="H38" s="261"/>
      <c r="I38" s="261"/>
      <c r="J38" s="261"/>
      <c r="K38" s="261"/>
      <c r="L38" s="262"/>
      <c r="M38"/>
      <c r="N38"/>
      <c r="O38"/>
      <c r="P38"/>
      <c r="Q38" s="62"/>
      <c r="R38" s="45"/>
      <c r="S38" s="46"/>
      <c r="U38" s="65"/>
      <c r="V38"/>
      <c r="W38"/>
      <c r="X38"/>
    </row>
    <row r="39" spans="1:24" ht="10.5" customHeight="1">
      <c r="A39" s="254"/>
      <c r="B39" s="255"/>
      <c r="C39" s="256"/>
      <c r="D39" s="227"/>
      <c r="E39" s="250"/>
      <c r="F39" s="260"/>
      <c r="G39" s="261"/>
      <c r="H39" s="261"/>
      <c r="I39" s="261"/>
      <c r="J39" s="261"/>
      <c r="K39" s="261"/>
      <c r="L39" s="262"/>
      <c r="M39"/>
      <c r="N39"/>
      <c r="O39"/>
      <c r="P39"/>
      <c r="Q39" s="62"/>
      <c r="R39" s="45"/>
      <c r="S39" s="46"/>
      <c r="U39" s="65"/>
      <c r="V39"/>
      <c r="W39"/>
      <c r="X39"/>
    </row>
    <row r="40" spans="1:24">
      <c r="A40" s="66" t="s">
        <v>112</v>
      </c>
      <c r="B40" s="67"/>
      <c r="C40" s="31"/>
      <c r="D40" s="68" t="s">
        <v>110</v>
      </c>
      <c r="E40" s="69"/>
      <c r="F40" s="260"/>
      <c r="G40" s="261"/>
      <c r="H40" s="261"/>
      <c r="I40" s="261"/>
      <c r="J40" s="261"/>
      <c r="K40" s="261"/>
      <c r="L40" s="262"/>
      <c r="M40"/>
      <c r="N40"/>
      <c r="O40"/>
      <c r="P40"/>
      <c r="Q40" s="62"/>
      <c r="R40" s="45"/>
      <c r="S40" s="46"/>
      <c r="U40" s="70"/>
      <c r="V40"/>
      <c r="W40"/>
      <c r="X40"/>
    </row>
    <row r="41" spans="1:24" ht="11.25" customHeight="1">
      <c r="A41" s="71"/>
      <c r="B41"/>
      <c r="C41" s="31"/>
      <c r="D41" s="25" t="s">
        <v>111</v>
      </c>
      <c r="E41" s="72" t="s">
        <v>118</v>
      </c>
      <c r="F41" s="260"/>
      <c r="G41" s="261"/>
      <c r="H41" s="261"/>
      <c r="I41" s="261"/>
      <c r="J41" s="261"/>
      <c r="K41" s="261"/>
      <c r="L41" s="262"/>
      <c r="M41"/>
      <c r="N41"/>
      <c r="O41"/>
      <c r="P41"/>
      <c r="Q41"/>
      <c r="R41"/>
      <c r="S41"/>
      <c r="T41"/>
      <c r="U41"/>
      <c r="V41"/>
      <c r="W41"/>
      <c r="X41"/>
    </row>
    <row r="42" spans="1:24" ht="14.25" customHeight="1">
      <c r="A42" s="73" t="s">
        <v>107</v>
      </c>
      <c r="B42" s="67"/>
      <c r="D42" s="74">
        <f>[1]!F001TotalExpSumm</f>
        <v>7047001</v>
      </c>
      <c r="E42" s="75">
        <f>[1]!GBLBudgFYSumm</f>
        <v>7047001</v>
      </c>
      <c r="F42" s="260"/>
      <c r="G42" s="261"/>
      <c r="H42" s="261"/>
      <c r="I42" s="261"/>
      <c r="J42" s="261"/>
      <c r="K42" s="261"/>
      <c r="L42" s="262"/>
      <c r="M42"/>
      <c r="N42"/>
      <c r="O42"/>
      <c r="P42"/>
      <c r="Q42"/>
      <c r="R42"/>
      <c r="S42"/>
      <c r="T42"/>
      <c r="U42"/>
      <c r="V42"/>
      <c r="W42"/>
      <c r="X42"/>
    </row>
    <row r="43" spans="1:24" ht="12" customHeight="1">
      <c r="A43" s="73" t="s">
        <v>108</v>
      </c>
      <c r="B43" s="67"/>
      <c r="D43" s="76">
        <f>[1]!CSFExpBudgFYSumm</f>
        <v>475691</v>
      </c>
      <c r="E43" s="77">
        <f>[1]!CSFBLBudgFYSumm</f>
        <v>475691</v>
      </c>
      <c r="F43" s="260"/>
      <c r="G43" s="261"/>
      <c r="H43" s="261"/>
      <c r="I43" s="261"/>
      <c r="J43" s="261"/>
      <c r="K43" s="261"/>
      <c r="L43" s="262"/>
      <c r="M43"/>
      <c r="N43"/>
      <c r="O43"/>
      <c r="P43"/>
      <c r="Q43"/>
      <c r="R43"/>
      <c r="S43"/>
      <c r="T43"/>
      <c r="U43"/>
      <c r="V43"/>
      <c r="W43"/>
      <c r="X43"/>
    </row>
    <row r="44" spans="1:24" ht="12" customHeight="1">
      <c r="A44" s="78" t="s">
        <v>109</v>
      </c>
      <c r="B44" s="79"/>
      <c r="C44" s="80"/>
      <c r="D44" s="81">
        <f>[1]!UCOBudgFYSumm</f>
        <v>1698585</v>
      </c>
      <c r="E44" s="82">
        <f>[1]!UCBLBudgFYSumm</f>
        <v>1698585</v>
      </c>
      <c r="F44" s="263"/>
      <c r="G44" s="264"/>
      <c r="H44" s="264"/>
      <c r="I44" s="264"/>
      <c r="J44" s="264"/>
      <c r="K44" s="264"/>
      <c r="L44" s="265"/>
      <c r="M44"/>
      <c r="N44"/>
      <c r="O44"/>
      <c r="P44"/>
      <c r="Q44"/>
      <c r="R44"/>
      <c r="S44"/>
      <c r="T44"/>
      <c r="U44"/>
      <c r="V44"/>
      <c r="W44"/>
      <c r="X44"/>
    </row>
    <row r="45" spans="1:24" ht="6.75" customHeight="1">
      <c r="A45" s="21"/>
      <c r="B45" s="21"/>
      <c r="C45" s="83"/>
      <c r="D45" s="236"/>
      <c r="E45" s="236"/>
      <c r="F45" s="236"/>
      <c r="G45" s="236"/>
      <c r="H45" s="236"/>
      <c r="I45" s="236"/>
      <c r="J45" s="236"/>
      <c r="K45" s="236"/>
      <c r="L45" s="237"/>
      <c r="M45"/>
      <c r="N45"/>
      <c r="O45"/>
      <c r="P45"/>
      <c r="Q45"/>
      <c r="R45"/>
      <c r="S45"/>
      <c r="T45"/>
      <c r="U45"/>
      <c r="V45"/>
      <c r="W45"/>
      <c r="X45"/>
    </row>
    <row r="46" spans="1:24" ht="4.5" customHeight="1">
      <c r="A46" s="84"/>
      <c r="B46" s="84"/>
      <c r="C46" s="84"/>
      <c r="D46" s="238"/>
      <c r="E46" s="238"/>
      <c r="F46" s="238"/>
      <c r="G46" s="238"/>
      <c r="H46" s="238"/>
      <c r="I46" s="238"/>
      <c r="J46" s="238"/>
      <c r="K46" s="238"/>
      <c r="L46" s="239"/>
      <c r="M46"/>
      <c r="N46"/>
      <c r="O46"/>
      <c r="P46"/>
      <c r="Q46"/>
      <c r="R46"/>
      <c r="S46"/>
      <c r="T46"/>
      <c r="U46"/>
      <c r="V46"/>
      <c r="W46"/>
      <c r="X46"/>
    </row>
    <row r="47" spans="1:24">
      <c r="A47" s="85" t="s">
        <v>32</v>
      </c>
      <c r="B47" s="86"/>
      <c r="C47" s="87"/>
      <c r="D47" s="87"/>
      <c r="E47" s="88"/>
      <c r="F47" s="88"/>
      <c r="G47" s="88"/>
      <c r="H47" s="88"/>
      <c r="I47" s="88"/>
      <c r="J47" s="88"/>
      <c r="K47" s="88"/>
      <c r="L47" s="89"/>
      <c r="M47"/>
      <c r="N47"/>
      <c r="O47"/>
      <c r="P47"/>
      <c r="Q47"/>
      <c r="R47"/>
      <c r="S47"/>
      <c r="T47"/>
      <c r="U47"/>
      <c r="V47"/>
      <c r="W47"/>
      <c r="X47"/>
    </row>
    <row r="48" spans="1:24">
      <c r="A48" s="90"/>
      <c r="B48" s="31"/>
      <c r="C48" s="91"/>
      <c r="D48" s="54"/>
      <c r="E48" s="92"/>
      <c r="F48" s="28"/>
      <c r="G48" s="28"/>
      <c r="H48" s="93"/>
      <c r="I48" s="94" t="s">
        <v>33</v>
      </c>
      <c r="J48" s="93"/>
      <c r="K48" s="232" t="s">
        <v>34</v>
      </c>
      <c r="L48" s="280"/>
      <c r="M48"/>
      <c r="N48"/>
      <c r="O48"/>
      <c r="P48"/>
      <c r="Q48"/>
      <c r="R48"/>
      <c r="S48"/>
      <c r="T48"/>
      <c r="U48"/>
      <c r="V48"/>
      <c r="W48"/>
      <c r="X48"/>
    </row>
    <row r="49" spans="1:24">
      <c r="A49" s="90"/>
      <c r="B49" s="31"/>
      <c r="C49" s="31"/>
      <c r="D49" s="96" t="s">
        <v>35</v>
      </c>
      <c r="E49" s="97"/>
      <c r="F49" s="98" t="s">
        <v>36</v>
      </c>
      <c r="G49" s="99"/>
      <c r="H49" s="97"/>
      <c r="I49" s="96" t="s">
        <v>37</v>
      </c>
      <c r="J49" s="97"/>
      <c r="K49" s="281" t="s">
        <v>38</v>
      </c>
      <c r="L49" s="282"/>
      <c r="M49"/>
      <c r="N49"/>
      <c r="O49"/>
      <c r="P49"/>
      <c r="Q49"/>
      <c r="R49"/>
      <c r="S49"/>
      <c r="T49"/>
      <c r="U49"/>
      <c r="V49"/>
      <c r="W49"/>
      <c r="X49"/>
    </row>
    <row r="50" spans="1:24">
      <c r="A50" s="90"/>
      <c r="B50" s="31"/>
      <c r="C50" s="31"/>
      <c r="D50" s="101" t="s">
        <v>39</v>
      </c>
      <c r="E50" s="101" t="s">
        <v>31</v>
      </c>
      <c r="F50" s="232" t="s">
        <v>39</v>
      </c>
      <c r="G50" s="233"/>
      <c r="H50" s="101" t="s">
        <v>31</v>
      </c>
      <c r="I50" s="101" t="s">
        <v>39</v>
      </c>
      <c r="J50" s="101" t="s">
        <v>31</v>
      </c>
      <c r="K50" s="281" t="s">
        <v>39</v>
      </c>
      <c r="L50" s="282"/>
      <c r="M50"/>
      <c r="N50"/>
      <c r="O50"/>
      <c r="P50"/>
      <c r="Q50"/>
      <c r="R50"/>
      <c r="S50"/>
      <c r="T50"/>
      <c r="U50"/>
      <c r="V50"/>
      <c r="W50"/>
      <c r="X50"/>
    </row>
    <row r="51" spans="1:24">
      <c r="A51" s="90"/>
      <c r="B51" s="31"/>
      <c r="C51" s="31"/>
      <c r="D51" s="102"/>
      <c r="E51" s="102"/>
      <c r="F51" s="287"/>
      <c r="G51" s="288"/>
      <c r="H51" s="102"/>
      <c r="I51" s="102"/>
      <c r="J51" s="102"/>
      <c r="K51" s="283"/>
      <c r="L51" s="284"/>
      <c r="M51"/>
      <c r="N51"/>
      <c r="O51"/>
      <c r="P51"/>
      <c r="Q51"/>
      <c r="R51"/>
      <c r="S51"/>
      <c r="T51"/>
      <c r="U51"/>
      <c r="V51"/>
      <c r="W51"/>
      <c r="X51"/>
    </row>
    <row r="52" spans="1:24">
      <c r="A52" s="105" t="s">
        <v>40</v>
      </c>
      <c r="B52" s="106"/>
      <c r="C52" s="31"/>
      <c r="D52" s="215">
        <f>'[2]Summary Page 1'!$C$32</f>
        <v>2046039</v>
      </c>
      <c r="E52" s="215">
        <f>[1]!F001P100F1000SBBudgFY</f>
        <v>2956253</v>
      </c>
      <c r="F52" s="221">
        <f>'[2]Summary Page 1'!$E$32</f>
        <v>252500</v>
      </c>
      <c r="G52" s="222"/>
      <c r="H52" s="217">
        <f>[1]!F001P100F1000OthBudgFY</f>
        <v>193000</v>
      </c>
      <c r="I52" s="215">
        <f>D52+F52</f>
        <v>2298539</v>
      </c>
      <c r="J52" s="217">
        <f>E52+H52</f>
        <v>3149253</v>
      </c>
      <c r="K52" s="268">
        <f>IF(I52=J52,0,IF(I52&gt;0,(J52-I52)/I52,"--"))</f>
        <v>0.37011075296090257</v>
      </c>
      <c r="L52" s="285"/>
      <c r="M52"/>
      <c r="N52"/>
      <c r="O52"/>
      <c r="P52"/>
      <c r="Q52"/>
      <c r="R52"/>
      <c r="S52"/>
      <c r="T52"/>
      <c r="U52"/>
      <c r="V52"/>
      <c r="W52"/>
      <c r="X52"/>
    </row>
    <row r="53" spans="1:24" ht="12.75" customHeight="1">
      <c r="A53" s="105" t="s">
        <v>41</v>
      </c>
      <c r="B53" s="106"/>
      <c r="C53" s="31"/>
      <c r="D53" s="216"/>
      <c r="E53" s="216"/>
      <c r="F53" s="223"/>
      <c r="G53" s="224"/>
      <c r="H53" s="218"/>
      <c r="I53" s="216"/>
      <c r="J53" s="218"/>
      <c r="K53" s="270"/>
      <c r="L53" s="286"/>
      <c r="M53"/>
      <c r="N53"/>
      <c r="O53"/>
      <c r="P53"/>
      <c r="Q53"/>
      <c r="R53"/>
      <c r="S53"/>
      <c r="T53"/>
      <c r="U53"/>
      <c r="V53"/>
      <c r="W53"/>
      <c r="X53"/>
    </row>
    <row r="54" spans="1:24">
      <c r="A54" s="105" t="s">
        <v>42</v>
      </c>
      <c r="B54" s="106"/>
      <c r="C54" s="31"/>
      <c r="D54" s="215">
        <f>'[2]Summary Page 1'!$C$34</f>
        <v>333063</v>
      </c>
      <c r="E54" s="217">
        <f>[1]!F001P100F2100SBBudgFY</f>
        <v>362176</v>
      </c>
      <c r="F54" s="221">
        <f>'[2]Summary Page 1'!$E$34</f>
        <v>20500</v>
      </c>
      <c r="G54" s="222"/>
      <c r="H54" s="217">
        <f>[1]!F001P100F2100OthBudgFY</f>
        <v>22000</v>
      </c>
      <c r="I54" s="215">
        <f>D54+F54</f>
        <v>353563</v>
      </c>
      <c r="J54" s="217">
        <f>E54+H54</f>
        <v>384176</v>
      </c>
      <c r="K54" s="268">
        <f>IF(I54=J54,0,IF(I54&gt;0,(J54-I54)/I54,"--"))</f>
        <v>8.6584286251672263E-2</v>
      </c>
      <c r="L54" s="285"/>
      <c r="M54"/>
      <c r="N54"/>
      <c r="O54"/>
      <c r="P54"/>
      <c r="Q54"/>
      <c r="R54"/>
      <c r="S54"/>
      <c r="T54"/>
      <c r="U54"/>
      <c r="V54"/>
      <c r="W54"/>
      <c r="X54"/>
    </row>
    <row r="55" spans="1:24" ht="12.75" customHeight="1">
      <c r="A55" s="105" t="s">
        <v>43</v>
      </c>
      <c r="B55" s="106"/>
      <c r="C55" s="67"/>
      <c r="D55" s="216"/>
      <c r="E55" s="218"/>
      <c r="F55" s="223"/>
      <c r="G55" s="224"/>
      <c r="H55" s="218"/>
      <c r="I55" s="216"/>
      <c r="J55" s="218"/>
      <c r="K55" s="270"/>
      <c r="L55" s="286"/>
      <c r="M55"/>
      <c r="N55"/>
      <c r="O55"/>
      <c r="P55"/>
      <c r="Q55"/>
      <c r="R55"/>
      <c r="S55"/>
      <c r="T55"/>
      <c r="U55"/>
      <c r="V55"/>
      <c r="W55"/>
      <c r="X55"/>
    </row>
    <row r="56" spans="1:24">
      <c r="A56" s="107" t="s">
        <v>44</v>
      </c>
      <c r="B56" s="108"/>
      <c r="C56" s="31"/>
      <c r="D56" s="109">
        <f>'[2]Summary Page 1'!$C$36</f>
        <v>646</v>
      </c>
      <c r="E56" s="110">
        <f>[1]!F001P100F2200SBBudgFY</f>
        <v>0</v>
      </c>
      <c r="F56" s="219">
        <f>'[2]Summary Page 1'!$E$36</f>
        <v>48580</v>
      </c>
      <c r="G56" s="220"/>
      <c r="H56" s="110">
        <f>[1]!F001P100F2200OthBudgFY</f>
        <v>41500</v>
      </c>
      <c r="I56" s="109">
        <f t="shared" ref="I56:I63" si="0">D56+F56</f>
        <v>49226</v>
      </c>
      <c r="J56" s="110">
        <f t="shared" ref="J56:J63" si="1">E56+H56</f>
        <v>41500</v>
      </c>
      <c r="K56" s="266">
        <f t="shared" ref="K56:K65" si="2">IF(I56=J56,0,IF(I56&gt;0,(J56-I56)/I56,"--"))</f>
        <v>-0.15694957949051314</v>
      </c>
      <c r="L56" s="279"/>
      <c r="M56"/>
      <c r="N56"/>
      <c r="O56"/>
      <c r="P56"/>
      <c r="Q56"/>
      <c r="R56"/>
      <c r="S56"/>
      <c r="T56"/>
      <c r="U56"/>
      <c r="V56"/>
      <c r="W56"/>
      <c r="X56"/>
    </row>
    <row r="57" spans="1:24">
      <c r="A57" s="107" t="s">
        <v>45</v>
      </c>
      <c r="B57" s="108"/>
      <c r="C57" s="112"/>
      <c r="D57" s="109">
        <f>'[2]Summary Page 1'!$C$37</f>
        <v>847563</v>
      </c>
      <c r="E57" s="110">
        <f>[1]!F001P100F230024002500SBBudgFY</f>
        <v>840490</v>
      </c>
      <c r="F57" s="219">
        <f>'[2]Summary Page 1'!$E$37</f>
        <v>97500</v>
      </c>
      <c r="G57" s="220"/>
      <c r="H57" s="110">
        <f>[1]!F001P100F230024002500OthBudgFY</f>
        <v>131000</v>
      </c>
      <c r="I57" s="109">
        <f t="shared" si="0"/>
        <v>945063</v>
      </c>
      <c r="J57" s="110">
        <f t="shared" si="1"/>
        <v>971490</v>
      </c>
      <c r="K57" s="266">
        <f t="shared" si="2"/>
        <v>2.7963215150735982E-2</v>
      </c>
      <c r="L57" s="279"/>
      <c r="M57"/>
      <c r="N57"/>
      <c r="O57"/>
      <c r="P57"/>
      <c r="Q57"/>
      <c r="R57"/>
      <c r="S57"/>
      <c r="T57"/>
      <c r="U57"/>
      <c r="V57"/>
      <c r="W57"/>
      <c r="X57"/>
    </row>
    <row r="58" spans="1:24">
      <c r="A58" s="107" t="s">
        <v>46</v>
      </c>
      <c r="B58" s="108"/>
      <c r="C58" s="62"/>
      <c r="D58" s="109">
        <f>'[2]Summary Page 1'!$C$38</f>
        <v>450000</v>
      </c>
      <c r="E58" s="110">
        <f>[1]!F001P100F2600SBBudgFY</f>
        <v>452575</v>
      </c>
      <c r="F58" s="219">
        <f>'[2]Summary Page 1'!$E$38</f>
        <v>491016</v>
      </c>
      <c r="G58" s="220"/>
      <c r="H58" s="109">
        <f>[1]!F001P100F2600OthBudgFY</f>
        <v>577000</v>
      </c>
      <c r="I58" s="109">
        <f t="shared" si="0"/>
        <v>941016</v>
      </c>
      <c r="J58" s="110">
        <f t="shared" si="1"/>
        <v>1029575</v>
      </c>
      <c r="K58" s="266">
        <f t="shared" si="2"/>
        <v>9.4109983252144494E-2</v>
      </c>
      <c r="L58" s="279"/>
      <c r="M58"/>
      <c r="N58"/>
      <c r="O58"/>
      <c r="P58"/>
      <c r="Q58"/>
      <c r="R58"/>
      <c r="S58"/>
      <c r="T58"/>
      <c r="U58"/>
      <c r="V58"/>
      <c r="W58"/>
      <c r="X58"/>
    </row>
    <row r="59" spans="1:24">
      <c r="A59" s="105" t="s">
        <v>47</v>
      </c>
      <c r="B59" s="106"/>
      <c r="C59" s="31"/>
      <c r="D59" s="109">
        <f>'[2]Summary Page 1'!$C$39</f>
        <v>0</v>
      </c>
      <c r="E59" s="110">
        <f>[1]!F001P100F2900SBBudgFY</f>
        <v>0</v>
      </c>
      <c r="F59" s="219">
        <f>'[2]Summary Page 1'!$E$39</f>
        <v>0</v>
      </c>
      <c r="G59" s="220"/>
      <c r="H59" s="109">
        <f>[1]!F001P100F2900OthBudgFY</f>
        <v>0</v>
      </c>
      <c r="I59" s="109">
        <f t="shared" si="0"/>
        <v>0</v>
      </c>
      <c r="J59" s="110">
        <f t="shared" si="1"/>
        <v>0</v>
      </c>
      <c r="K59" s="266">
        <f t="shared" si="2"/>
        <v>0</v>
      </c>
      <c r="L59" s="279"/>
      <c r="M59"/>
      <c r="N59"/>
      <c r="O59"/>
      <c r="P59"/>
      <c r="Q59"/>
      <c r="R59"/>
      <c r="S59"/>
      <c r="T59"/>
      <c r="U59"/>
      <c r="V59"/>
      <c r="W59"/>
      <c r="X59"/>
    </row>
    <row r="60" spans="1:24">
      <c r="A60" s="105" t="s">
        <v>48</v>
      </c>
      <c r="B60" s="106"/>
      <c r="C60" s="31"/>
      <c r="D60" s="109">
        <f>'[2]Summary Page 1'!$C$40</f>
        <v>126725</v>
      </c>
      <c r="E60" s="110">
        <f>[1]!F001P100F3000SBBudgFY</f>
        <v>168263</v>
      </c>
      <c r="F60" s="219">
        <f>'[2]Summary Page 1'!$E$40</f>
        <v>7209</v>
      </c>
      <c r="G60" s="220"/>
      <c r="H60" s="109">
        <f>[1]!F001P100F3000OthBudgFY</f>
        <v>5600</v>
      </c>
      <c r="I60" s="109">
        <f t="shared" si="0"/>
        <v>133934</v>
      </c>
      <c r="J60" s="110">
        <f t="shared" si="1"/>
        <v>173863</v>
      </c>
      <c r="K60" s="266">
        <f t="shared" si="2"/>
        <v>0.2981244493556528</v>
      </c>
      <c r="L60" s="279"/>
      <c r="M60"/>
      <c r="N60"/>
      <c r="O60"/>
      <c r="P60"/>
      <c r="Q60"/>
      <c r="R60"/>
      <c r="S60"/>
      <c r="T60"/>
      <c r="U60"/>
      <c r="V60"/>
      <c r="W60"/>
      <c r="X60"/>
    </row>
    <row r="61" spans="1:24">
      <c r="A61" s="90" t="s">
        <v>49</v>
      </c>
      <c r="B61" s="31"/>
      <c r="C61" s="31"/>
      <c r="D61" s="109">
        <f>'[2]Summary Page 1'!$C$41</f>
        <v>0</v>
      </c>
      <c r="E61" s="110">
        <f>[1]!F001P610SBBudgFY</f>
        <v>0</v>
      </c>
      <c r="F61" s="219">
        <f>'[2]Summary Page 1'!$E$41</f>
        <v>0</v>
      </c>
      <c r="G61" s="220"/>
      <c r="H61" s="109">
        <f>[1]!F001P610OthBudgFY</f>
        <v>0</v>
      </c>
      <c r="I61" s="109">
        <f t="shared" si="0"/>
        <v>0</v>
      </c>
      <c r="J61" s="110">
        <f t="shared" si="1"/>
        <v>0</v>
      </c>
      <c r="K61" s="266">
        <f t="shared" si="2"/>
        <v>0</v>
      </c>
      <c r="L61" s="267"/>
      <c r="M61"/>
      <c r="N61"/>
      <c r="O61"/>
      <c r="P61"/>
      <c r="Q61"/>
      <c r="R61"/>
      <c r="S61"/>
      <c r="T61"/>
      <c r="U61"/>
      <c r="V61"/>
      <c r="W61"/>
      <c r="X61"/>
    </row>
    <row r="62" spans="1:24">
      <c r="A62" s="90" t="s">
        <v>50</v>
      </c>
      <c r="B62" s="31"/>
      <c r="C62" s="31"/>
      <c r="D62" s="109">
        <f>'[2]Summary Page 1'!$C$42</f>
        <v>0</v>
      </c>
      <c r="E62" s="110">
        <f>[1]!F001P620SBBudgFY</f>
        <v>0</v>
      </c>
      <c r="F62" s="219">
        <f>'[2]Summary Page 1'!$E$42</f>
        <v>0</v>
      </c>
      <c r="G62" s="220"/>
      <c r="H62" s="109">
        <f>[1]!F001P620OthBudgFY</f>
        <v>0</v>
      </c>
      <c r="I62" s="109">
        <f t="shared" si="0"/>
        <v>0</v>
      </c>
      <c r="J62" s="110">
        <f t="shared" si="1"/>
        <v>0</v>
      </c>
      <c r="K62" s="266">
        <f t="shared" si="2"/>
        <v>0</v>
      </c>
      <c r="L62" s="267"/>
      <c r="M62"/>
      <c r="N62"/>
      <c r="O62"/>
      <c r="P62"/>
      <c r="Q62"/>
      <c r="R62"/>
      <c r="S62"/>
      <c r="T62"/>
      <c r="U62"/>
      <c r="V62"/>
      <c r="W62"/>
      <c r="X62"/>
    </row>
    <row r="63" spans="1:24">
      <c r="A63" s="90" t="s">
        <v>51</v>
      </c>
      <c r="B63" s="31"/>
      <c r="C63" s="31"/>
      <c r="D63" s="109">
        <f>'[2]Summary Page 1'!$C$43</f>
        <v>0</v>
      </c>
      <c r="E63" s="113">
        <f>[1]!F001P630700800900SBBudgFY</f>
        <v>0</v>
      </c>
      <c r="F63" s="272">
        <f>'[2]Summary Page 1'!$E$43</f>
        <v>0</v>
      </c>
      <c r="G63" s="273"/>
      <c r="H63" s="115">
        <f>[1]!F001P630700800900OthBudgFY</f>
        <v>0</v>
      </c>
      <c r="I63" s="115">
        <f t="shared" si="0"/>
        <v>0</v>
      </c>
      <c r="J63" s="113">
        <f t="shared" si="1"/>
        <v>0</v>
      </c>
      <c r="K63" s="266">
        <f t="shared" si="2"/>
        <v>0</v>
      </c>
      <c r="L63" s="267"/>
      <c r="M63"/>
      <c r="N63"/>
      <c r="O63"/>
      <c r="P63"/>
      <c r="Q63"/>
      <c r="R63"/>
      <c r="S63"/>
      <c r="T63"/>
      <c r="U63"/>
      <c r="V63"/>
      <c r="W63"/>
      <c r="X63"/>
    </row>
    <row r="64" spans="1:24">
      <c r="A64" s="116" t="s">
        <v>52</v>
      </c>
      <c r="B64" s="117"/>
      <c r="C64" s="91"/>
      <c r="D64" s="110">
        <f t="shared" ref="D64" si="3">SUM(D52:D63)</f>
        <v>3804036</v>
      </c>
      <c r="E64" s="110">
        <f t="shared" ref="E64:J64" si="4">SUM(E52:E63)</f>
        <v>4779757</v>
      </c>
      <c r="F64" s="219">
        <f t="shared" si="4"/>
        <v>917305</v>
      </c>
      <c r="G64" s="220"/>
      <c r="H64" s="110">
        <f>SUM(H52:H63)</f>
        <v>970100</v>
      </c>
      <c r="I64" s="110">
        <f t="shared" si="4"/>
        <v>4721341</v>
      </c>
      <c r="J64" s="110">
        <f t="shared" si="4"/>
        <v>5749857</v>
      </c>
      <c r="K64" s="266">
        <f t="shared" si="2"/>
        <v>0.21784404049612177</v>
      </c>
      <c r="L64" s="267"/>
      <c r="M64"/>
      <c r="N64"/>
      <c r="O64"/>
      <c r="P64"/>
      <c r="Q64"/>
      <c r="R64"/>
      <c r="S64"/>
      <c r="T64"/>
      <c r="U64"/>
      <c r="V64"/>
      <c r="W64"/>
      <c r="X64"/>
    </row>
    <row r="65" spans="1:24">
      <c r="A65" s="105" t="s">
        <v>53</v>
      </c>
      <c r="B65" s="106"/>
      <c r="C65" s="31"/>
      <c r="D65" s="215">
        <f>'[2]Summary Page 1'!$C$45</f>
        <v>237410</v>
      </c>
      <c r="E65" s="217">
        <f>[1]!F001P200F1000SBBudgFY</f>
        <v>299842</v>
      </c>
      <c r="F65" s="221">
        <f>'[2]Summary Page 1'!$E$45</f>
        <v>12000</v>
      </c>
      <c r="G65" s="222"/>
      <c r="H65" s="217">
        <f>[1]!F001P200F1000OthBudgFY</f>
        <v>4000</v>
      </c>
      <c r="I65" s="215">
        <f>D65+F65</f>
        <v>249410</v>
      </c>
      <c r="J65" s="217">
        <f>E65+H65</f>
        <v>303842</v>
      </c>
      <c r="K65" s="268">
        <f t="shared" si="2"/>
        <v>0.21824305360651136</v>
      </c>
      <c r="L65" s="269"/>
      <c r="M65"/>
      <c r="N65"/>
      <c r="O65"/>
      <c r="P65"/>
      <c r="Q65"/>
      <c r="R65"/>
      <c r="S65"/>
      <c r="T65"/>
      <c r="U65"/>
      <c r="V65"/>
      <c r="W65"/>
      <c r="X65"/>
    </row>
    <row r="66" spans="1:24" ht="12.75" customHeight="1">
      <c r="A66" s="105" t="s">
        <v>41</v>
      </c>
      <c r="B66" s="106"/>
      <c r="C66" s="31"/>
      <c r="D66" s="216"/>
      <c r="E66" s="218"/>
      <c r="F66" s="223"/>
      <c r="G66" s="224"/>
      <c r="H66" s="218"/>
      <c r="I66" s="216"/>
      <c r="J66" s="218"/>
      <c r="K66" s="270"/>
      <c r="L66" s="271"/>
      <c r="M66"/>
      <c r="N66"/>
      <c r="O66"/>
      <c r="P66"/>
      <c r="Q66"/>
      <c r="R66"/>
      <c r="S66"/>
      <c r="T66"/>
      <c r="U66"/>
      <c r="V66"/>
      <c r="W66"/>
      <c r="X66"/>
    </row>
    <row r="67" spans="1:24">
      <c r="A67" s="105" t="s">
        <v>42</v>
      </c>
      <c r="B67" s="106"/>
      <c r="C67" s="31"/>
      <c r="D67" s="215">
        <f>'[2]Summary Page 1'!$C$47</f>
        <v>124350</v>
      </c>
      <c r="E67" s="217">
        <f>[1]!F001P200F2100SBBudgFY</f>
        <v>155939</v>
      </c>
      <c r="F67" s="221">
        <f>'[2]Summary Page 1'!$E$47</f>
        <v>78800</v>
      </c>
      <c r="G67" s="222"/>
      <c r="H67" s="217">
        <f>[1]!F001P200F2100OthBudgFY</f>
        <v>0</v>
      </c>
      <c r="I67" s="215">
        <f>D67+F67</f>
        <v>203150</v>
      </c>
      <c r="J67" s="217">
        <f>E67+H67</f>
        <v>155939</v>
      </c>
      <c r="K67" s="268">
        <f>IF(I67=J67,0,IF(I67&gt;0,(J67-I67)/I67,"--"))</f>
        <v>-0.23239478218065468</v>
      </c>
      <c r="L67" s="269"/>
      <c r="M67"/>
      <c r="N67"/>
      <c r="O67"/>
      <c r="P67"/>
      <c r="Q67"/>
      <c r="R67"/>
      <c r="S67"/>
      <c r="T67"/>
      <c r="U67"/>
      <c r="V67"/>
      <c r="W67"/>
      <c r="X67"/>
    </row>
    <row r="68" spans="1:24" ht="12.75" customHeight="1">
      <c r="A68" s="105" t="s">
        <v>43</v>
      </c>
      <c r="B68" s="106"/>
      <c r="C68" s="67"/>
      <c r="D68" s="216"/>
      <c r="E68" s="218"/>
      <c r="F68" s="223"/>
      <c r="G68" s="224"/>
      <c r="H68" s="218"/>
      <c r="I68" s="218"/>
      <c r="J68" s="218"/>
      <c r="K68" s="270"/>
      <c r="L68" s="271"/>
      <c r="M68"/>
      <c r="N68"/>
      <c r="O68"/>
      <c r="P68"/>
      <c r="Q68"/>
      <c r="R68"/>
      <c r="S68"/>
      <c r="T68"/>
      <c r="U68"/>
      <c r="V68"/>
      <c r="W68"/>
      <c r="X68"/>
    </row>
    <row r="69" spans="1:24">
      <c r="A69" s="107" t="s">
        <v>44</v>
      </c>
      <c r="B69" s="108"/>
      <c r="C69" s="31"/>
      <c r="D69" s="109">
        <f>'[2]Summary Page 1'!$C$49</f>
        <v>54500</v>
      </c>
      <c r="E69" s="109">
        <f>[1]!F001P200F2200SBBudgFY</f>
        <v>61689</v>
      </c>
      <c r="F69" s="219">
        <f>'[2]Summary Page 1'!$E$49</f>
        <v>3300</v>
      </c>
      <c r="G69" s="220"/>
      <c r="H69" s="110">
        <f>[1]!F001P200F2200OthBudgFY</f>
        <v>8000</v>
      </c>
      <c r="I69" s="109">
        <f>D69+F69</f>
        <v>57800</v>
      </c>
      <c r="J69" s="110">
        <f>E69+H69</f>
        <v>69689</v>
      </c>
      <c r="K69" s="266">
        <f t="shared" ref="K69:K78" si="5">IF(I69=J69,0,IF(I69&gt;0,(J69-I69)/I69,"--"))</f>
        <v>0.20569204152249135</v>
      </c>
      <c r="L69" s="267"/>
      <c r="M69"/>
      <c r="N69"/>
      <c r="O69"/>
      <c r="P69"/>
      <c r="Q69"/>
      <c r="R69"/>
      <c r="S69"/>
      <c r="T69"/>
      <c r="U69"/>
      <c r="V69"/>
      <c r="W69"/>
      <c r="X69"/>
    </row>
    <row r="70" spans="1:24">
      <c r="A70" s="107" t="s">
        <v>45</v>
      </c>
      <c r="B70" s="108"/>
      <c r="C70" s="112"/>
      <c r="D70" s="109">
        <f>'[2]Summary Page 1'!$C$50</f>
        <v>0</v>
      </c>
      <c r="E70" s="109">
        <f>[1]!F001P200F230024002500SBBudgFY</f>
        <v>0</v>
      </c>
      <c r="F70" s="219">
        <f>'[2]Summary Page 1'!$E$50</f>
        <v>3000</v>
      </c>
      <c r="G70" s="220"/>
      <c r="H70" s="109">
        <f>[1]!F001P200F230024002500OthBudgFY</f>
        <v>0</v>
      </c>
      <c r="I70" s="109">
        <f>D70+F70</f>
        <v>3000</v>
      </c>
      <c r="J70" s="110">
        <f>E70+H70</f>
        <v>0</v>
      </c>
      <c r="K70" s="266">
        <f t="shared" si="5"/>
        <v>-1</v>
      </c>
      <c r="L70" s="267"/>
      <c r="M70"/>
      <c r="N70"/>
      <c r="O70"/>
      <c r="P70"/>
      <c r="Q70"/>
      <c r="R70"/>
      <c r="S70"/>
      <c r="T70"/>
      <c r="U70"/>
      <c r="V70"/>
      <c r="W70"/>
      <c r="X70"/>
    </row>
    <row r="71" spans="1:24">
      <c r="A71" s="107" t="s">
        <v>46</v>
      </c>
      <c r="B71" s="108"/>
      <c r="C71" s="62"/>
      <c r="D71" s="109">
        <f>'[2]Summary Page 1'!$C$51</f>
        <v>0</v>
      </c>
      <c r="E71" s="109">
        <f>[1]!F001P200F2600SBBudgFY</f>
        <v>0</v>
      </c>
      <c r="F71" s="219">
        <f>'[2]Summary Page 1'!$E$51</f>
        <v>0</v>
      </c>
      <c r="G71" s="220"/>
      <c r="H71" s="109">
        <f>[1]!F001P200F2600OthBudgFY</f>
        <v>0</v>
      </c>
      <c r="I71" s="109">
        <f>D71+F71</f>
        <v>0</v>
      </c>
      <c r="J71" s="110">
        <f>E71+H71</f>
        <v>0</v>
      </c>
      <c r="K71" s="266">
        <f t="shared" si="5"/>
        <v>0</v>
      </c>
      <c r="L71" s="267"/>
      <c r="M71"/>
      <c r="N71"/>
      <c r="O71"/>
      <c r="P71"/>
      <c r="Q71"/>
      <c r="R71"/>
      <c r="S71"/>
      <c r="T71"/>
      <c r="U71"/>
      <c r="V71"/>
      <c r="W71"/>
      <c r="X71"/>
    </row>
    <row r="72" spans="1:24">
      <c r="A72" s="105" t="s">
        <v>47</v>
      </c>
      <c r="B72" s="106"/>
      <c r="C72" s="31"/>
      <c r="D72" s="109">
        <f>'[2]Summary Page 1'!$C$52</f>
        <v>0</v>
      </c>
      <c r="E72" s="109">
        <f>[1]!F001P200F2900SBBudgFY</f>
        <v>0</v>
      </c>
      <c r="F72" s="219">
        <f>'[2]Summary Page 1'!$E$52</f>
        <v>0</v>
      </c>
      <c r="G72" s="220"/>
      <c r="H72" s="109">
        <f>[1]!F001P200F2900OthBudgFY</f>
        <v>0</v>
      </c>
      <c r="I72" s="109">
        <f>D72+F72</f>
        <v>0</v>
      </c>
      <c r="J72" s="110">
        <f>E72+H72</f>
        <v>0</v>
      </c>
      <c r="K72" s="266">
        <f t="shared" si="5"/>
        <v>0</v>
      </c>
      <c r="L72" s="267"/>
      <c r="M72"/>
      <c r="N72"/>
      <c r="O72"/>
      <c r="P72"/>
      <c r="Q72"/>
      <c r="R72"/>
      <c r="S72"/>
      <c r="T72"/>
      <c r="U72"/>
      <c r="V72"/>
      <c r="W72"/>
      <c r="X72"/>
    </row>
    <row r="73" spans="1:24">
      <c r="A73" s="105" t="s">
        <v>48</v>
      </c>
      <c r="B73" s="106"/>
      <c r="C73" s="31"/>
      <c r="D73" s="109">
        <f>'[2]Summary Page 1'!$C$53</f>
        <v>0</v>
      </c>
      <c r="E73" s="109">
        <f>[1]!F001P200F3000SBBudgFY</f>
        <v>0</v>
      </c>
      <c r="F73" s="219">
        <f>'[2]Summary Page 1'!$E$53</f>
        <v>0</v>
      </c>
      <c r="G73" s="220"/>
      <c r="H73" s="109">
        <f>[1]!F001P200F3000OthBudgFY</f>
        <v>0</v>
      </c>
      <c r="I73" s="109">
        <f>D73+F73</f>
        <v>0</v>
      </c>
      <c r="J73" s="110">
        <f>E73+H73</f>
        <v>0</v>
      </c>
      <c r="K73" s="266">
        <f t="shared" si="5"/>
        <v>0</v>
      </c>
      <c r="L73" s="267"/>
      <c r="M73"/>
      <c r="N73"/>
      <c r="O73"/>
      <c r="P73"/>
      <c r="Q73"/>
      <c r="R73"/>
      <c r="S73"/>
      <c r="T73"/>
      <c r="U73"/>
      <c r="V73"/>
      <c r="W73"/>
      <c r="X73"/>
    </row>
    <row r="74" spans="1:24">
      <c r="A74" s="116" t="s">
        <v>54</v>
      </c>
      <c r="B74" s="117"/>
      <c r="C74" s="31"/>
      <c r="D74" s="118">
        <f t="shared" ref="D74" si="6">SUM(D65:D73)</f>
        <v>416260</v>
      </c>
      <c r="E74" s="118">
        <f t="shared" ref="E74:J74" si="7">SUM(E65:E73)</f>
        <v>517470</v>
      </c>
      <c r="F74" s="289">
        <f t="shared" si="7"/>
        <v>97100</v>
      </c>
      <c r="G74" s="290"/>
      <c r="H74" s="118">
        <f t="shared" si="7"/>
        <v>12000</v>
      </c>
      <c r="I74" s="109">
        <f t="shared" si="7"/>
        <v>513360</v>
      </c>
      <c r="J74" s="109">
        <f t="shared" si="7"/>
        <v>529470</v>
      </c>
      <c r="K74" s="266">
        <f t="shared" si="5"/>
        <v>3.1381486676016833E-2</v>
      </c>
      <c r="L74" s="267"/>
      <c r="M74"/>
      <c r="N74"/>
      <c r="O74"/>
      <c r="P74"/>
      <c r="Q74"/>
      <c r="R74"/>
      <c r="S74"/>
      <c r="T74"/>
      <c r="U74"/>
      <c r="V74"/>
      <c r="W74"/>
      <c r="X74"/>
    </row>
    <row r="75" spans="1:24">
      <c r="A75" s="119" t="s">
        <v>55</v>
      </c>
      <c r="B75" s="120"/>
      <c r="C75" s="120"/>
      <c r="D75" s="109">
        <f>'[2]Summary Page 1'!$C$55</f>
        <v>422885</v>
      </c>
      <c r="E75" s="118">
        <f>[1]!F001P400SBBudgFY</f>
        <v>544628</v>
      </c>
      <c r="F75" s="219">
        <f>'[2]Summary Page 1'!$E$55</f>
        <v>91665</v>
      </c>
      <c r="G75" s="220"/>
      <c r="H75" s="118">
        <f>[1]!F001P400OthBudgFy</f>
        <v>172000</v>
      </c>
      <c r="I75" s="109">
        <f>D75+F75</f>
        <v>514550</v>
      </c>
      <c r="J75" s="110">
        <f>E75+H75</f>
        <v>716628</v>
      </c>
      <c r="K75" s="266">
        <f t="shared" si="5"/>
        <v>0.39272762608104167</v>
      </c>
      <c r="L75" s="267"/>
      <c r="M75"/>
      <c r="N75"/>
      <c r="O75"/>
      <c r="P75"/>
      <c r="Q75"/>
      <c r="R75"/>
      <c r="S75"/>
      <c r="T75"/>
      <c r="U75"/>
      <c r="V75"/>
      <c r="W75"/>
      <c r="X75"/>
    </row>
    <row r="76" spans="1:24">
      <c r="A76" s="121" t="s">
        <v>56</v>
      </c>
      <c r="B76" s="26"/>
      <c r="C76" s="26"/>
      <c r="D76" s="115">
        <f>'[2]Summary Page 1'!$C$56</f>
        <v>0</v>
      </c>
      <c r="E76" s="122">
        <f>[1]!F001P510SBBudgFY</f>
        <v>0</v>
      </c>
      <c r="F76" s="272">
        <f>'[2]Summary Page 1'!$E$56</f>
        <v>0</v>
      </c>
      <c r="G76" s="273"/>
      <c r="H76" s="122">
        <f>[1]!F001P510OthBudgFY</f>
        <v>0</v>
      </c>
      <c r="I76" s="115">
        <f>D76+F76</f>
        <v>0</v>
      </c>
      <c r="J76" s="113">
        <f>E76+H76</f>
        <v>0</v>
      </c>
      <c r="K76" s="292">
        <f t="shared" si="5"/>
        <v>0</v>
      </c>
      <c r="L76" s="293"/>
      <c r="M76"/>
      <c r="N76"/>
      <c r="O76"/>
      <c r="P76"/>
      <c r="Q76"/>
      <c r="R76"/>
      <c r="S76"/>
      <c r="T76"/>
      <c r="U76"/>
      <c r="V76"/>
      <c r="W76"/>
      <c r="X76"/>
    </row>
    <row r="77" spans="1:24">
      <c r="A77" s="119" t="s">
        <v>57</v>
      </c>
      <c r="B77" s="120"/>
      <c r="C77" s="120"/>
      <c r="D77" s="109">
        <f>'[2]Summary Page 1'!$C$57</f>
        <v>0</v>
      </c>
      <c r="E77" s="118">
        <f>[1]!F001P530SBBudgFY</f>
        <v>0</v>
      </c>
      <c r="F77" s="219">
        <f>'[2]Summary Page 1'!$E$57</f>
        <v>0</v>
      </c>
      <c r="G77" s="220"/>
      <c r="H77" s="118">
        <f>[1]!F001P530OthBudgFY</f>
        <v>0</v>
      </c>
      <c r="I77" s="109">
        <f>D77+F77</f>
        <v>0</v>
      </c>
      <c r="J77" s="110">
        <f>E77+H77</f>
        <v>0</v>
      </c>
      <c r="K77" s="266">
        <f t="shared" si="5"/>
        <v>0</v>
      </c>
      <c r="L77" s="267"/>
      <c r="M77"/>
      <c r="N77"/>
      <c r="O77"/>
      <c r="P77"/>
      <c r="Q77"/>
      <c r="R77"/>
      <c r="S77"/>
      <c r="T77"/>
      <c r="U77"/>
      <c r="V77"/>
      <c r="W77"/>
      <c r="X77"/>
    </row>
    <row r="78" spans="1:24">
      <c r="A78" s="119" t="s">
        <v>58</v>
      </c>
      <c r="B78" s="120"/>
      <c r="C78" s="123"/>
      <c r="D78" s="215">
        <f>'[2]Summary Page 1'!$C$58</f>
        <v>0</v>
      </c>
      <c r="E78" s="240">
        <f>[1]!F001P540SBBudgFY</f>
        <v>0</v>
      </c>
      <c r="F78" s="221">
        <f>'[2]Summary Page 1'!$E$58</f>
        <v>0</v>
      </c>
      <c r="G78" s="222"/>
      <c r="H78" s="240">
        <f>[1]!F001P540OthBudgFY</f>
        <v>0</v>
      </c>
      <c r="I78" s="215">
        <f>D78+F78</f>
        <v>0</v>
      </c>
      <c r="J78" s="215">
        <f>E78+H78</f>
        <v>0</v>
      </c>
      <c r="K78" s="268">
        <f t="shared" si="5"/>
        <v>0</v>
      </c>
      <c r="L78" s="269"/>
      <c r="M78"/>
      <c r="N78"/>
      <c r="O78"/>
      <c r="P78"/>
      <c r="Q78"/>
      <c r="R78"/>
      <c r="S78"/>
      <c r="T78"/>
      <c r="U78"/>
      <c r="V78"/>
      <c r="W78"/>
      <c r="X78"/>
    </row>
    <row r="79" spans="1:24">
      <c r="A79" s="119" t="s">
        <v>59</v>
      </c>
      <c r="B79" s="120"/>
      <c r="C79" s="123"/>
      <c r="D79" s="228"/>
      <c r="E79" s="241"/>
      <c r="F79" s="223"/>
      <c r="G79" s="224"/>
      <c r="H79" s="241"/>
      <c r="I79" s="228"/>
      <c r="J79" s="228"/>
      <c r="K79" s="270"/>
      <c r="L79" s="271"/>
      <c r="M79"/>
      <c r="N79"/>
      <c r="O79"/>
      <c r="P79"/>
      <c r="Q79"/>
      <c r="R79"/>
      <c r="S79"/>
      <c r="T79"/>
      <c r="U79"/>
      <c r="V79"/>
      <c r="W79"/>
      <c r="X79"/>
    </row>
    <row r="80" spans="1:24">
      <c r="A80" s="121" t="s">
        <v>60</v>
      </c>
      <c r="B80" s="26"/>
      <c r="C80" s="123"/>
      <c r="D80" s="109">
        <f>'[2]Summary Page 1'!$C$60</f>
        <v>53000</v>
      </c>
      <c r="E80" s="124">
        <f>[1]!F001P550SBBudgFY</f>
        <v>51046</v>
      </c>
      <c r="F80" s="219">
        <f>'[2]Summary Page 1'!$E$60</f>
        <v>0</v>
      </c>
      <c r="G80" s="220"/>
      <c r="H80" s="124">
        <f>[1]!F001P550OthBudgFY</f>
        <v>0</v>
      </c>
      <c r="I80" s="109">
        <f>D80+F80</f>
        <v>53000</v>
      </c>
      <c r="J80" s="113">
        <f>E80+H80</f>
        <v>51046</v>
      </c>
      <c r="K80" s="292">
        <f>IF(I80=J80,0,IF(I80&gt;0,(J80-I80)/I80,"--"))</f>
        <v>-3.6867924528301885E-2</v>
      </c>
      <c r="L80" s="293"/>
      <c r="M80"/>
      <c r="N80"/>
      <c r="O80"/>
      <c r="P80"/>
      <c r="Q80"/>
      <c r="R80"/>
      <c r="S80"/>
      <c r="T80"/>
      <c r="U80"/>
      <c r="V80"/>
      <c r="W80"/>
      <c r="X80"/>
    </row>
    <row r="81" spans="1:24">
      <c r="A81" s="125" t="s">
        <v>61</v>
      </c>
      <c r="B81" s="79"/>
      <c r="C81" s="126"/>
      <c r="D81" s="127">
        <f t="shared" ref="D81" si="8">SUM(D74:D80)+D64</f>
        <v>4696181</v>
      </c>
      <c r="E81" s="127">
        <f t="shared" ref="E81:J81" si="9">SUM(E74:E80)+E64</f>
        <v>5892901</v>
      </c>
      <c r="F81" s="297">
        <f t="shared" si="9"/>
        <v>1106070</v>
      </c>
      <c r="G81" s="298"/>
      <c r="H81" s="127">
        <f t="shared" si="9"/>
        <v>1154100</v>
      </c>
      <c r="I81" s="127">
        <f t="shared" si="9"/>
        <v>5802251</v>
      </c>
      <c r="J81" s="127">
        <f t="shared" si="9"/>
        <v>7047001</v>
      </c>
      <c r="K81" s="294">
        <f>IF(I81=J81,0,IF(I81&gt;0,(J81-I81)/I81,"--"))</f>
        <v>0.21452880959475901</v>
      </c>
      <c r="L81" s="295"/>
      <c r="M81"/>
      <c r="N81"/>
      <c r="O81"/>
      <c r="P81"/>
      <c r="Q81"/>
      <c r="R81"/>
      <c r="S81"/>
      <c r="T81"/>
      <c r="U81"/>
      <c r="V81"/>
      <c r="W81"/>
      <c r="X81"/>
    </row>
    <row r="82" spans="1:24">
      <c r="A82" s="67"/>
      <c r="B82" s="67"/>
      <c r="C82" s="28"/>
      <c r="D82" s="128"/>
      <c r="E82" s="128"/>
      <c r="F82" s="128"/>
      <c r="G82" s="128"/>
      <c r="H82" s="128"/>
      <c r="I82" s="128"/>
      <c r="J82" s="128"/>
      <c r="K82" s="128"/>
      <c r="L82" s="129"/>
      <c r="M82"/>
      <c r="N82"/>
      <c r="O82"/>
      <c r="P82"/>
      <c r="Q82"/>
      <c r="R82"/>
      <c r="S82"/>
      <c r="T82"/>
      <c r="U82"/>
      <c r="V82"/>
      <c r="W82"/>
      <c r="X82"/>
    </row>
    <row r="83" spans="1:24" ht="12.75" customHeight="1">
      <c r="A83"/>
      <c r="B83"/>
      <c r="C83"/>
      <c r="D83"/>
      <c r="E83"/>
      <c r="F83"/>
      <c r="G83"/>
      <c r="H83"/>
      <c r="I83"/>
      <c r="J83"/>
      <c r="K83"/>
      <c r="L83"/>
      <c r="M83"/>
      <c r="N83"/>
      <c r="O83"/>
      <c r="P83"/>
      <c r="Q83"/>
      <c r="R83"/>
      <c r="S83"/>
      <c r="T83"/>
      <c r="U83"/>
      <c r="V83"/>
      <c r="W83"/>
      <c r="X83"/>
    </row>
    <row r="84" spans="1:24" ht="12.75" customHeight="1">
      <c r="A84" s="229" t="s">
        <v>62</v>
      </c>
      <c r="B84" s="230"/>
      <c r="C84" s="230"/>
      <c r="D84" s="230"/>
      <c r="E84" s="230"/>
      <c r="F84" s="230"/>
      <c r="G84" s="231"/>
      <c r="H84" s="130"/>
      <c r="I84" s="130"/>
      <c r="J84" s="29"/>
      <c r="K84" s="29"/>
      <c r="L84"/>
      <c r="M84"/>
      <c r="N84"/>
      <c r="O84"/>
      <c r="P84"/>
      <c r="Q84"/>
      <c r="R84"/>
      <c r="S84"/>
      <c r="T84"/>
      <c r="U84"/>
      <c r="V84"/>
      <c r="W84"/>
      <c r="X84"/>
    </row>
    <row r="85" spans="1:24" ht="12.75" customHeight="1">
      <c r="A85" s="41"/>
      <c r="B85" s="31"/>
      <c r="C85" s="100"/>
      <c r="D85" s="131"/>
      <c r="E85" s="100" t="s">
        <v>63</v>
      </c>
      <c r="F85" s="232" t="s">
        <v>64</v>
      </c>
      <c r="G85" s="233"/>
      <c r="H85" s="132"/>
      <c r="I85" s="132"/>
      <c r="J85" s="132"/>
      <c r="K85" s="132"/>
      <c r="L85"/>
      <c r="M85"/>
      <c r="N85"/>
      <c r="O85"/>
      <c r="P85"/>
      <c r="Q85"/>
      <c r="R85"/>
      <c r="S85"/>
      <c r="T85"/>
      <c r="U85"/>
      <c r="V85"/>
      <c r="W85"/>
      <c r="X85"/>
    </row>
    <row r="86" spans="1:24" ht="12.75" customHeight="1">
      <c r="A86" s="41"/>
      <c r="B86" s="31"/>
      <c r="C86" s="96" t="s">
        <v>65</v>
      </c>
      <c r="D86" s="97"/>
      <c r="E86" s="100" t="s">
        <v>66</v>
      </c>
      <c r="F86" s="281" t="s">
        <v>66</v>
      </c>
      <c r="G86" s="291"/>
      <c r="H86" s="132"/>
      <c r="I86" s="132"/>
      <c r="J86" s="132"/>
      <c r="K86" s="132"/>
      <c r="L86"/>
      <c r="M86"/>
      <c r="N86"/>
      <c r="O86"/>
      <c r="P86"/>
      <c r="Q86"/>
      <c r="R86"/>
      <c r="S86"/>
      <c r="T86"/>
      <c r="U86"/>
      <c r="V86"/>
      <c r="W86"/>
      <c r="X86"/>
    </row>
    <row r="87" spans="1:24" ht="12.75" customHeight="1">
      <c r="A87" s="133" t="s">
        <v>67</v>
      </c>
      <c r="B87" s="31"/>
      <c r="C87" s="95"/>
      <c r="D87" s="101"/>
      <c r="E87" s="100" t="s">
        <v>38</v>
      </c>
      <c r="F87" s="281" t="s">
        <v>38</v>
      </c>
      <c r="G87" s="291"/>
      <c r="H87" s="132"/>
      <c r="I87" s="132"/>
      <c r="J87" s="132"/>
      <c r="K87" s="132"/>
      <c r="L87"/>
      <c r="M87"/>
      <c r="N87"/>
      <c r="O87"/>
      <c r="P87"/>
      <c r="Q87"/>
      <c r="R87"/>
      <c r="S87"/>
      <c r="T87"/>
      <c r="U87"/>
      <c r="V87"/>
      <c r="W87"/>
      <c r="X87"/>
    </row>
    <row r="88" spans="1:24" ht="12.75" customHeight="1">
      <c r="A88" s="103"/>
      <c r="B88" s="134"/>
      <c r="C88" s="104" t="s">
        <v>39</v>
      </c>
      <c r="D88" s="135" t="s">
        <v>31</v>
      </c>
      <c r="E88" s="104" t="s">
        <v>68</v>
      </c>
      <c r="F88" s="283" t="s">
        <v>39</v>
      </c>
      <c r="G88" s="296"/>
      <c r="H88" s="132"/>
      <c r="I88" s="132"/>
      <c r="J88" s="132"/>
      <c r="K88" s="132"/>
      <c r="L88"/>
      <c r="M88"/>
      <c r="N88"/>
      <c r="O88"/>
      <c r="P88"/>
      <c r="Q88"/>
      <c r="R88"/>
      <c r="S88"/>
      <c r="T88"/>
      <c r="U88"/>
      <c r="V88"/>
      <c r="W88"/>
      <c r="X88"/>
    </row>
    <row r="89" spans="1:24" ht="12.75" customHeight="1">
      <c r="A89" s="136" t="s">
        <v>69</v>
      </c>
      <c r="B89" s="137"/>
      <c r="C89" s="138">
        <f>[2]!SummMOPY</f>
        <v>5802251</v>
      </c>
      <c r="D89" s="138">
        <f>[1]!SummMOBY</f>
        <v>7047001</v>
      </c>
      <c r="E89" s="136">
        <f t="shared" ref="E89:E104" si="10">D89-C89</f>
        <v>1244750</v>
      </c>
      <c r="F89" s="234">
        <f t="shared" ref="F89:F104" si="11">IF(C89=D89,0,IF(C89&gt;0,E89/C89,"--"))</f>
        <v>0.21452880959475901</v>
      </c>
      <c r="G89" s="235"/>
      <c r="H89" s="132"/>
      <c r="I89" s="132"/>
      <c r="J89" s="132"/>
      <c r="K89" s="132"/>
      <c r="L89"/>
      <c r="M89"/>
      <c r="N89"/>
      <c r="O89"/>
      <c r="P89"/>
      <c r="Q89"/>
      <c r="R89"/>
      <c r="S89"/>
      <c r="T89"/>
      <c r="U89"/>
      <c r="V89"/>
      <c r="W89"/>
      <c r="X89"/>
    </row>
    <row r="90" spans="1:24" ht="12.75" customHeight="1">
      <c r="A90" s="139" t="s">
        <v>70</v>
      </c>
      <c r="B90" s="140"/>
      <c r="C90" s="141">
        <f>[2]!SummInstImprovPY</f>
        <v>50000</v>
      </c>
      <c r="D90" s="141">
        <f>[1]!SummInstImprovBY</f>
        <v>20850</v>
      </c>
      <c r="E90" s="136">
        <f t="shared" si="10"/>
        <v>-29150</v>
      </c>
      <c r="F90" s="234">
        <f t="shared" si="11"/>
        <v>-0.58299999999999996</v>
      </c>
      <c r="G90" s="235"/>
      <c r="H90" s="132"/>
      <c r="I90" s="132"/>
      <c r="J90" s="132"/>
      <c r="K90" s="132"/>
      <c r="L90"/>
      <c r="M90"/>
      <c r="N90"/>
      <c r="O90"/>
      <c r="P90"/>
      <c r="Q90"/>
      <c r="R90"/>
      <c r="S90"/>
      <c r="T90"/>
      <c r="U90"/>
      <c r="V90"/>
      <c r="W90"/>
      <c r="X90"/>
    </row>
    <row r="91" spans="1:24" ht="12.75" customHeight="1">
      <c r="A91" s="139" t="s">
        <v>126</v>
      </c>
      <c r="B91" s="140"/>
      <c r="C91" s="141">
        <f>[2]!SummELLPY</f>
        <v>0</v>
      </c>
      <c r="D91" s="115">
        <f>[1]!SummELLBY</f>
        <v>0</v>
      </c>
      <c r="E91" s="136">
        <f t="shared" si="10"/>
        <v>0</v>
      </c>
      <c r="F91" s="234">
        <f t="shared" si="11"/>
        <v>0</v>
      </c>
      <c r="G91" s="235"/>
      <c r="H91" s="132"/>
      <c r="I91" s="132"/>
      <c r="J91" s="132"/>
      <c r="K91" s="132"/>
      <c r="L91"/>
      <c r="M91"/>
      <c r="N91"/>
      <c r="O91"/>
      <c r="P91"/>
      <c r="Q91"/>
      <c r="R91"/>
      <c r="S91"/>
      <c r="T91"/>
      <c r="U91"/>
      <c r="V91"/>
      <c r="W91"/>
      <c r="X91"/>
    </row>
    <row r="92" spans="1:24" ht="12.75" customHeight="1">
      <c r="A92" s="139" t="s">
        <v>71</v>
      </c>
      <c r="B92" s="140"/>
      <c r="C92" s="141">
        <f>[2]!SummCompInstrPY</f>
        <v>0</v>
      </c>
      <c r="D92" s="115">
        <f>[1]!SummCompInstrBY</f>
        <v>0</v>
      </c>
      <c r="E92" s="142">
        <f t="shared" si="10"/>
        <v>0</v>
      </c>
      <c r="F92" s="274">
        <f t="shared" si="11"/>
        <v>0</v>
      </c>
      <c r="G92" s="275"/>
      <c r="H92" s="132"/>
      <c r="I92" s="132"/>
      <c r="J92" s="132"/>
      <c r="K92" s="132"/>
      <c r="L92"/>
      <c r="M92"/>
      <c r="N92"/>
      <c r="O92"/>
      <c r="P92"/>
      <c r="Q92"/>
      <c r="R92"/>
      <c r="S92"/>
      <c r="T92"/>
      <c r="U92"/>
      <c r="V92"/>
      <c r="W92"/>
      <c r="X92"/>
    </row>
    <row r="93" spans="1:24" ht="12.75" customHeight="1">
      <c r="A93" s="143" t="s">
        <v>72</v>
      </c>
      <c r="B93" s="144"/>
      <c r="C93" s="145">
        <f>[2]!SummCSFPY</f>
        <v>357097</v>
      </c>
      <c r="D93" s="145">
        <f>[1]!SummCSFBY</f>
        <v>475691</v>
      </c>
      <c r="E93" s="142">
        <f t="shared" si="10"/>
        <v>118594</v>
      </c>
      <c r="F93" s="274">
        <f t="shared" si="11"/>
        <v>0.33210584239016289</v>
      </c>
      <c r="G93" s="275"/>
      <c r="H93" s="132"/>
      <c r="I93" s="132"/>
      <c r="J93" s="132"/>
      <c r="K93" s="132"/>
      <c r="L93"/>
      <c r="M93"/>
      <c r="N93"/>
      <c r="O93"/>
      <c r="P93"/>
      <c r="Q93"/>
      <c r="R93"/>
      <c r="S93"/>
      <c r="T93"/>
      <c r="U93"/>
      <c r="V93"/>
      <c r="W93"/>
      <c r="X93"/>
    </row>
    <row r="94" spans="1:24" ht="12.75" customHeight="1">
      <c r="A94" s="146" t="s">
        <v>73</v>
      </c>
      <c r="B94" s="147"/>
      <c r="C94" s="110">
        <f>[2]!SummFedProjectsPY</f>
        <v>1422393</v>
      </c>
      <c r="D94" s="110">
        <f>[1]!SummFedProjectsBY</f>
        <v>662079</v>
      </c>
      <c r="E94" s="148">
        <f t="shared" si="10"/>
        <v>-760314</v>
      </c>
      <c r="F94" s="274">
        <f t="shared" si="11"/>
        <v>-0.53453159569823527</v>
      </c>
      <c r="G94" s="275"/>
      <c r="H94" s="132"/>
      <c r="I94" s="132"/>
      <c r="J94" s="132"/>
      <c r="K94" s="132"/>
      <c r="L94"/>
      <c r="M94"/>
      <c r="N94"/>
      <c r="O94"/>
      <c r="P94"/>
      <c r="Q94"/>
      <c r="R94"/>
      <c r="S94"/>
      <c r="T94"/>
      <c r="U94"/>
      <c r="V94"/>
      <c r="W94"/>
      <c r="X94"/>
    </row>
    <row r="95" spans="1:24" ht="12.75" customHeight="1">
      <c r="A95" s="149" t="s">
        <v>74</v>
      </c>
      <c r="B95" s="150"/>
      <c r="C95" s="109">
        <f>[2]!SummStateProjectsPY</f>
        <v>86007</v>
      </c>
      <c r="D95" s="109">
        <f>[1]!SummStateProjectsBY</f>
        <v>71145</v>
      </c>
      <c r="E95" s="111">
        <f t="shared" si="10"/>
        <v>-14862</v>
      </c>
      <c r="F95" s="274">
        <f t="shared" si="11"/>
        <v>-0.17279988838117827</v>
      </c>
      <c r="G95" s="275"/>
      <c r="H95" s="132"/>
      <c r="I95" s="132"/>
      <c r="J95" s="132"/>
      <c r="K95" s="132"/>
      <c r="L95"/>
      <c r="M95"/>
      <c r="N95"/>
      <c r="O95"/>
      <c r="P95"/>
      <c r="Q95"/>
      <c r="R95"/>
      <c r="S95"/>
      <c r="T95"/>
      <c r="U95"/>
      <c r="V95"/>
      <c r="W95"/>
      <c r="X95"/>
    </row>
    <row r="96" spans="1:24" ht="12.75" customHeight="1">
      <c r="A96" s="146" t="s">
        <v>75</v>
      </c>
      <c r="B96" s="147"/>
      <c r="C96" s="109">
        <f>[2]!SummUCOPY</f>
        <v>1382653</v>
      </c>
      <c r="D96" s="109">
        <f>[1]!SummUCOBY</f>
        <v>1698585</v>
      </c>
      <c r="E96" s="111">
        <f t="shared" si="10"/>
        <v>315932</v>
      </c>
      <c r="F96" s="274">
        <f t="shared" si="11"/>
        <v>0.22849695476739282</v>
      </c>
      <c r="G96" s="275"/>
      <c r="H96" s="28"/>
      <c r="I96" s="28"/>
      <c r="J96" s="28"/>
      <c r="K96" s="28"/>
      <c r="L96"/>
      <c r="M96"/>
      <c r="N96"/>
      <c r="O96"/>
      <c r="P96"/>
      <c r="Q96"/>
      <c r="R96"/>
      <c r="S96"/>
      <c r="T96"/>
      <c r="U96"/>
      <c r="V96"/>
      <c r="W96"/>
      <c r="X96"/>
    </row>
    <row r="97" spans="1:24" ht="12.75" customHeight="1">
      <c r="A97" s="146" t="s">
        <v>76</v>
      </c>
      <c r="B97" s="147"/>
      <c r="C97" s="109">
        <f>[2]!SummNSFPY</f>
        <v>0</v>
      </c>
      <c r="D97" s="109">
        <f>[1]!SummNSFBY</f>
        <v>0</v>
      </c>
      <c r="E97" s="111">
        <f t="shared" si="10"/>
        <v>0</v>
      </c>
      <c r="F97" s="274">
        <f t="shared" si="11"/>
        <v>0</v>
      </c>
      <c r="G97" s="275"/>
      <c r="H97" s="132"/>
      <c r="I97" s="132"/>
      <c r="J97" s="132"/>
      <c r="K97" s="132"/>
      <c r="L97"/>
      <c r="M97"/>
      <c r="N97"/>
      <c r="O97"/>
      <c r="P97"/>
      <c r="Q97"/>
      <c r="R97"/>
      <c r="S97"/>
      <c r="T97"/>
      <c r="U97"/>
      <c r="V97"/>
      <c r="W97"/>
      <c r="X97"/>
    </row>
    <row r="98" spans="1:24" ht="12.75" customHeight="1">
      <c r="A98" s="146" t="s">
        <v>77</v>
      </c>
      <c r="B98" s="147"/>
      <c r="C98" s="109">
        <f>[2]!SummAdjacentWaysPY</f>
        <v>0</v>
      </c>
      <c r="D98" s="109">
        <f>[1]!SummAdjacentWaysBY</f>
        <v>0</v>
      </c>
      <c r="E98" s="111">
        <f t="shared" si="10"/>
        <v>0</v>
      </c>
      <c r="F98" s="274">
        <f t="shared" si="11"/>
        <v>0</v>
      </c>
      <c r="G98" s="275"/>
      <c r="H98" s="132"/>
      <c r="I98" s="132"/>
      <c r="J98" s="132"/>
      <c r="K98" s="132"/>
      <c r="L98"/>
      <c r="M98"/>
      <c r="N98"/>
      <c r="O98"/>
      <c r="P98"/>
      <c r="Q98"/>
      <c r="R98"/>
      <c r="S98"/>
      <c r="T98"/>
      <c r="U98"/>
      <c r="V98"/>
      <c r="W98"/>
      <c r="X98"/>
    </row>
    <row r="99" spans="1:24" ht="12.75" customHeight="1">
      <c r="A99" s="146" t="s">
        <v>78</v>
      </c>
      <c r="B99" s="147"/>
      <c r="C99" s="109">
        <f>[2]!SummDebtServicePY</f>
        <v>0</v>
      </c>
      <c r="D99" s="109">
        <f>[1]!SumDebtServiceBY</f>
        <v>0</v>
      </c>
      <c r="E99" s="111">
        <f t="shared" si="10"/>
        <v>0</v>
      </c>
      <c r="F99" s="274">
        <f t="shared" si="11"/>
        <v>0</v>
      </c>
      <c r="G99" s="275"/>
      <c r="H99" s="132"/>
      <c r="I99" s="132"/>
      <c r="J99" s="132"/>
      <c r="K99" s="132"/>
      <c r="L99"/>
      <c r="M99"/>
      <c r="N99"/>
      <c r="O99"/>
      <c r="P99"/>
      <c r="Q99"/>
      <c r="R99"/>
      <c r="S99"/>
      <c r="T99"/>
      <c r="U99"/>
      <c r="V99"/>
      <c r="W99"/>
      <c r="X99"/>
    </row>
    <row r="100" spans="1:24" ht="12.75" customHeight="1">
      <c r="A100" s="151" t="s">
        <v>79</v>
      </c>
      <c r="B100" s="58"/>
      <c r="C100" s="115">
        <f>[2]!SummSchoolPlantPY</f>
        <v>0</v>
      </c>
      <c r="D100" s="109">
        <f>[1]!SummSchoolPlantBY</f>
        <v>0</v>
      </c>
      <c r="E100" s="111">
        <f t="shared" si="10"/>
        <v>0</v>
      </c>
      <c r="F100" s="274">
        <f t="shared" si="11"/>
        <v>0</v>
      </c>
      <c r="G100" s="275"/>
      <c r="H100" s="132"/>
      <c r="I100" s="132"/>
      <c r="J100" s="132"/>
      <c r="K100" s="132"/>
      <c r="L100"/>
      <c r="M100"/>
      <c r="N100"/>
      <c r="O100"/>
      <c r="P100"/>
      <c r="Q100"/>
      <c r="R100"/>
      <c r="S100"/>
      <c r="T100"/>
      <c r="U100"/>
      <c r="V100"/>
      <c r="W100"/>
      <c r="X100"/>
    </row>
    <row r="101" spans="1:24" ht="12.75" customHeight="1">
      <c r="A101" s="146" t="s">
        <v>80</v>
      </c>
      <c r="B101" s="147"/>
      <c r="C101" s="109">
        <f>[2]!SummAuxOpsPY</f>
        <v>0</v>
      </c>
      <c r="D101" s="109">
        <f>[1]!SummAuxOpsBY</f>
        <v>0</v>
      </c>
      <c r="E101" s="111">
        <f t="shared" si="10"/>
        <v>0</v>
      </c>
      <c r="F101" s="274">
        <f t="shared" si="11"/>
        <v>0</v>
      </c>
      <c r="G101" s="275"/>
      <c r="H101" s="132"/>
      <c r="I101" s="132"/>
      <c r="J101" s="132"/>
      <c r="K101" s="132"/>
      <c r="L101"/>
      <c r="M101"/>
      <c r="N101"/>
      <c r="O101"/>
      <c r="P101"/>
      <c r="Q101"/>
      <c r="R101"/>
      <c r="S101"/>
      <c r="T101"/>
      <c r="U101"/>
      <c r="V101"/>
      <c r="W101"/>
      <c r="X101"/>
    </row>
    <row r="102" spans="1:24" ht="12.75" customHeight="1">
      <c r="A102" s="146" t="s">
        <v>81</v>
      </c>
      <c r="B102" s="147"/>
      <c r="C102" s="109">
        <f>[2]!SummBondBuildingPY</f>
        <v>0</v>
      </c>
      <c r="D102" s="109">
        <f>[1]!SummBondBuildingBY</f>
        <v>0</v>
      </c>
      <c r="E102" s="111">
        <f t="shared" si="10"/>
        <v>0</v>
      </c>
      <c r="F102" s="274">
        <f t="shared" si="11"/>
        <v>0</v>
      </c>
      <c r="G102" s="275"/>
      <c r="H102" s="132"/>
      <c r="I102" s="132"/>
      <c r="J102" s="132"/>
      <c r="K102" s="132"/>
      <c r="L102"/>
      <c r="M102"/>
      <c r="N102"/>
      <c r="O102"/>
      <c r="P102"/>
      <c r="Q102"/>
      <c r="R102"/>
      <c r="S102"/>
      <c r="T102"/>
      <c r="U102"/>
      <c r="V102"/>
      <c r="W102"/>
      <c r="X102"/>
    </row>
    <row r="103" spans="1:24" ht="12.75" customHeight="1">
      <c r="A103" s="146" t="s">
        <v>82</v>
      </c>
      <c r="B103" s="147"/>
      <c r="C103" s="109">
        <f>[2]!SummFoodServicePY</f>
        <v>175000</v>
      </c>
      <c r="D103" s="109">
        <f>[1]!SummFoodServiceBY</f>
        <v>185000</v>
      </c>
      <c r="E103" s="111">
        <f t="shared" si="10"/>
        <v>10000</v>
      </c>
      <c r="F103" s="274">
        <f t="shared" si="11"/>
        <v>5.7142857142857141E-2</v>
      </c>
      <c r="G103" s="275"/>
      <c r="H103" s="132"/>
      <c r="I103" s="132"/>
      <c r="J103" s="132"/>
      <c r="K103" s="132"/>
      <c r="L103"/>
      <c r="M103"/>
      <c r="N103"/>
      <c r="O103"/>
      <c r="P103"/>
      <c r="Q103"/>
      <c r="R103"/>
      <c r="S103"/>
      <c r="T103"/>
      <c r="U103"/>
      <c r="V103"/>
      <c r="W103"/>
      <c r="X103"/>
    </row>
    <row r="104" spans="1:24" ht="12.75" customHeight="1">
      <c r="A104" s="152" t="s">
        <v>36</v>
      </c>
      <c r="B104" s="153"/>
      <c r="C104" s="115">
        <f>[2]!SummOtherPY</f>
        <v>139570</v>
      </c>
      <c r="D104" s="115">
        <f>[1]!SummOtherBY</f>
        <v>300750</v>
      </c>
      <c r="E104" s="114">
        <f t="shared" si="10"/>
        <v>161180</v>
      </c>
      <c r="F104" s="234">
        <f t="shared" si="11"/>
        <v>1.1548327004370567</v>
      </c>
      <c r="G104" s="235"/>
      <c r="H104" s="132"/>
      <c r="I104" s="132"/>
      <c r="J104" s="132"/>
      <c r="K104" s="132"/>
      <c r="L104"/>
      <c r="M104"/>
      <c r="N104"/>
      <c r="O104"/>
      <c r="P104"/>
      <c r="Q104"/>
      <c r="R104"/>
      <c r="S104"/>
      <c r="T104"/>
      <c r="U104"/>
      <c r="V104"/>
      <c r="W104"/>
      <c r="X104"/>
    </row>
    <row r="105" spans="1:24" ht="12" customHeight="1">
      <c r="A105" s="28"/>
      <c r="B105" s="28"/>
      <c r="C105" s="28"/>
      <c r="D105" s="28"/>
      <c r="E105" s="28"/>
      <c r="F105" s="28"/>
      <c r="G105" s="28"/>
      <c r="H105" s="28"/>
      <c r="I105" s="132"/>
      <c r="J105" s="132"/>
      <c r="K105" s="132"/>
      <c r="L105" s="132"/>
      <c r="M105" s="132"/>
      <c r="N105"/>
      <c r="O105"/>
      <c r="P105"/>
      <c r="Q105"/>
      <c r="R105"/>
      <c r="S105"/>
      <c r="T105"/>
      <c r="U105"/>
      <c r="V105"/>
      <c r="W105"/>
      <c r="X105"/>
    </row>
    <row r="106" spans="1:24" ht="13.5" customHeight="1">
      <c r="A106" s="310" t="s">
        <v>83</v>
      </c>
      <c r="B106" s="311"/>
      <c r="C106" s="311"/>
      <c r="D106" s="311"/>
      <c r="E106" s="312"/>
      <c r="F106"/>
      <c r="G106"/>
      <c r="H106"/>
      <c r="I106"/>
      <c r="J106"/>
      <c r="K106"/>
      <c r="L106"/>
      <c r="M106" s="132"/>
      <c r="N106"/>
      <c r="O106"/>
      <c r="P106"/>
      <c r="Q106"/>
      <c r="R106"/>
      <c r="S106"/>
      <c r="T106"/>
      <c r="U106"/>
      <c r="V106"/>
      <c r="W106"/>
      <c r="X106"/>
    </row>
    <row r="107" spans="1:24" ht="13.5" thickBot="1">
      <c r="A107" s="307" t="s">
        <v>85</v>
      </c>
      <c r="B107" s="308"/>
      <c r="C107" s="309"/>
      <c r="D107" s="135" t="s">
        <v>39</v>
      </c>
      <c r="E107" s="135" t="s">
        <v>31</v>
      </c>
      <c r="F107"/>
      <c r="G107"/>
      <c r="H107"/>
      <c r="I107"/>
      <c r="J107"/>
      <c r="K107"/>
      <c r="L107"/>
      <c r="M107"/>
      <c r="N107"/>
      <c r="O107"/>
      <c r="P107"/>
      <c r="Q107"/>
      <c r="R107"/>
      <c r="S107"/>
      <c r="T107"/>
      <c r="U107"/>
      <c r="V107"/>
      <c r="W107"/>
      <c r="X107"/>
    </row>
    <row r="108" spans="1:24">
      <c r="A108" s="53" t="s">
        <v>86</v>
      </c>
      <c r="B108" s="154"/>
      <c r="C108" s="155"/>
      <c r="D108" s="156">
        <f>[1]!SummAllDisabilityPY</f>
        <v>533182</v>
      </c>
      <c r="E108" s="156">
        <f>[1]!SummAllDisabilityBY</f>
        <v>529470</v>
      </c>
      <c r="F108"/>
      <c r="G108"/>
      <c r="H108"/>
      <c r="I108"/>
      <c r="J108"/>
      <c r="K108"/>
      <c r="L108"/>
      <c r="M108"/>
      <c r="N108"/>
      <c r="O108"/>
      <c r="P108"/>
      <c r="Q108"/>
      <c r="R108"/>
      <c r="S108"/>
      <c r="T108"/>
      <c r="U108"/>
      <c r="V108"/>
      <c r="W108"/>
      <c r="X108"/>
    </row>
    <row r="109" spans="1:24">
      <c r="A109" s="146" t="s">
        <v>88</v>
      </c>
      <c r="B109" s="157"/>
      <c r="C109" s="123"/>
      <c r="D109" s="113">
        <f>[1]!SummGiftedPY</f>
        <v>0</v>
      </c>
      <c r="E109" s="113">
        <f>[1]!SummGiftedBY</f>
        <v>0</v>
      </c>
      <c r="F109"/>
      <c r="G109"/>
      <c r="H109"/>
      <c r="I109"/>
      <c r="J109"/>
      <c r="K109"/>
      <c r="L109"/>
      <c r="M109"/>
      <c r="N109"/>
      <c r="O109"/>
      <c r="P109"/>
      <c r="Q109"/>
      <c r="R109"/>
      <c r="S109"/>
      <c r="T109"/>
      <c r="U109"/>
      <c r="V109"/>
      <c r="W109"/>
      <c r="X109"/>
    </row>
    <row r="110" spans="1:24">
      <c r="A110" s="146" t="s">
        <v>90</v>
      </c>
      <c r="B110" s="157"/>
      <c r="C110" s="123"/>
      <c r="D110" s="113">
        <f>[1]!SummRemedialPY</f>
        <v>0</v>
      </c>
      <c r="E110" s="113">
        <f>[1]!SummRemedialBY</f>
        <v>0</v>
      </c>
      <c r="F110"/>
      <c r="G110"/>
      <c r="H110"/>
      <c r="I110"/>
      <c r="J110"/>
      <c r="K110"/>
      <c r="L110"/>
      <c r="M110"/>
      <c r="N110"/>
      <c r="O110"/>
      <c r="P110"/>
      <c r="Q110"/>
      <c r="R110"/>
      <c r="S110"/>
      <c r="T110"/>
      <c r="U110"/>
      <c r="V110"/>
      <c r="W110"/>
      <c r="X110"/>
    </row>
    <row r="111" spans="1:24">
      <c r="A111" s="158" t="s">
        <v>92</v>
      </c>
      <c r="B111" s="140"/>
      <c r="C111" s="123"/>
      <c r="D111" s="113">
        <f>[1]!SummELLIncrementalPY</f>
        <v>0</v>
      </c>
      <c r="E111" s="113">
        <f>[1]!SummELLIncrementalBY</f>
        <v>0</v>
      </c>
      <c r="F111"/>
      <c r="G111"/>
      <c r="H111"/>
      <c r="I111"/>
      <c r="J111"/>
      <c r="K111"/>
      <c r="L111"/>
      <c r="M111"/>
      <c r="N111"/>
      <c r="O111"/>
      <c r="P111"/>
      <c r="Q111"/>
      <c r="R111"/>
      <c r="S111"/>
      <c r="T111"/>
      <c r="U111"/>
      <c r="V111"/>
      <c r="W111"/>
      <c r="X111"/>
    </row>
    <row r="112" spans="1:24">
      <c r="A112" s="158" t="s">
        <v>93</v>
      </c>
      <c r="B112" s="140"/>
      <c r="C112" s="123"/>
      <c r="D112" s="113">
        <f>[1]!SPEDELLCompInstrCurrFY</f>
        <v>0</v>
      </c>
      <c r="E112" s="113">
        <f>[1]!SummELLCompInstBY</f>
        <v>0</v>
      </c>
      <c r="F112"/>
      <c r="G112"/>
      <c r="H112"/>
      <c r="I112"/>
      <c r="J112"/>
      <c r="K112"/>
      <c r="L112"/>
      <c r="M112"/>
      <c r="N112"/>
      <c r="O112"/>
      <c r="P112"/>
      <c r="Q112"/>
      <c r="R112"/>
      <c r="S112"/>
      <c r="T112"/>
      <c r="U112"/>
      <c r="V112"/>
      <c r="W112"/>
      <c r="X112"/>
    </row>
    <row r="113" spans="1:24">
      <c r="A113" s="146" t="s">
        <v>119</v>
      </c>
      <c r="B113" s="157"/>
      <c r="C113" s="123"/>
      <c r="D113" s="113">
        <f>[1]!SummVocandTechEdPY</f>
        <v>0</v>
      </c>
      <c r="E113" s="113">
        <f>[1]!SummVocandTechEdBY</f>
        <v>0</v>
      </c>
      <c r="F113"/>
      <c r="G113"/>
      <c r="H113"/>
      <c r="I113"/>
      <c r="J113"/>
      <c r="K113"/>
      <c r="L113"/>
      <c r="M113"/>
      <c r="N113"/>
      <c r="O113"/>
      <c r="P113"/>
      <c r="Q113"/>
      <c r="R113"/>
      <c r="S113"/>
      <c r="T113"/>
      <c r="U113"/>
      <c r="V113"/>
      <c r="W113"/>
      <c r="X113"/>
    </row>
    <row r="114" spans="1:24">
      <c r="A114" s="146" t="s">
        <v>121</v>
      </c>
      <c r="B114" s="157"/>
      <c r="C114" s="123"/>
      <c r="D114" s="115">
        <f>[1]!SummCareerEdPY</f>
        <v>0</v>
      </c>
      <c r="E114" s="115">
        <f>[1]!SummCareerEdBY</f>
        <v>0</v>
      </c>
      <c r="F114"/>
      <c r="G114"/>
      <c r="H114"/>
      <c r="I114"/>
      <c r="J114"/>
      <c r="K114"/>
      <c r="L114"/>
      <c r="M114"/>
      <c r="N114"/>
      <c r="O114"/>
      <c r="P114"/>
      <c r="Q114"/>
      <c r="R114"/>
      <c r="S114"/>
      <c r="T114"/>
      <c r="U114"/>
      <c r="V114"/>
      <c r="W114"/>
      <c r="X114"/>
    </row>
    <row r="115" spans="1:24" ht="13.5" thickBot="1">
      <c r="A115" s="158" t="s">
        <v>120</v>
      </c>
      <c r="B115" s="140"/>
      <c r="C115" s="123"/>
      <c r="D115" s="159">
        <f>[1]!SummCTEDPY</f>
        <v>0</v>
      </c>
      <c r="E115" s="159">
        <f>[1]!SummCTEDBY</f>
        <v>0</v>
      </c>
      <c r="F115"/>
      <c r="G115"/>
      <c r="H115"/>
      <c r="I115"/>
      <c r="J115"/>
      <c r="K115"/>
      <c r="L115"/>
      <c r="M115"/>
      <c r="N115"/>
      <c r="O115"/>
      <c r="P115"/>
      <c r="Q115"/>
      <c r="R115"/>
      <c r="S115"/>
      <c r="T115"/>
      <c r="U115"/>
      <c r="V115"/>
      <c r="W115"/>
      <c r="X115"/>
    </row>
    <row r="116" spans="1:24" ht="13.5" thickBot="1">
      <c r="A116" s="160" t="s">
        <v>96</v>
      </c>
      <c r="B116" s="161"/>
      <c r="C116" s="162"/>
      <c r="D116" s="163">
        <f>[1]!SummSpecEdTotalPY</f>
        <v>533182</v>
      </c>
      <c r="E116" s="163">
        <f>[1]!SummSpecEdTotalBY</f>
        <v>529470</v>
      </c>
      <c r="F116"/>
      <c r="G116"/>
      <c r="H116"/>
      <c r="I116"/>
      <c r="J116"/>
      <c r="K116"/>
      <c r="L116"/>
      <c r="M116"/>
      <c r="N116"/>
      <c r="O116"/>
      <c r="P116"/>
      <c r="Q116"/>
      <c r="R116"/>
      <c r="S116"/>
      <c r="T116"/>
      <c r="U116"/>
      <c r="V116"/>
      <c r="W116"/>
      <c r="X116"/>
    </row>
    <row r="117" spans="1:24" ht="12" customHeight="1" thickTop="1">
      <c r="A117" s="21"/>
      <c r="B117" s="21"/>
      <c r="C117" s="21"/>
      <c r="D117" s="21"/>
      <c r="E117" s="128"/>
      <c r="F117"/>
      <c r="G117"/>
      <c r="H117"/>
      <c r="I117"/>
      <c r="J117"/>
      <c r="K117"/>
      <c r="L117"/>
      <c r="M117"/>
      <c r="N117"/>
      <c r="O117"/>
      <c r="P117"/>
      <c r="Q117"/>
      <c r="R117"/>
      <c r="S117"/>
      <c r="T117"/>
      <c r="U117"/>
      <c r="V117"/>
      <c r="W117"/>
      <c r="X117"/>
    </row>
    <row r="118" spans="1:24">
      <c r="A118" s="302" t="s">
        <v>84</v>
      </c>
      <c r="B118" s="303"/>
      <c r="C118" s="303"/>
      <c r="D118" s="303"/>
      <c r="E118" s="303"/>
      <c r="F118" s="303"/>
      <c r="G118" s="303"/>
      <c r="H118" s="303"/>
      <c r="I118" s="304"/>
      <c r="J118"/>
      <c r="K118"/>
      <c r="L118"/>
      <c r="M118"/>
      <c r="N118"/>
      <c r="O118"/>
      <c r="P118"/>
      <c r="Q118"/>
      <c r="R118"/>
      <c r="S118"/>
      <c r="T118"/>
      <c r="U118"/>
      <c r="V118"/>
      <c r="W118"/>
      <c r="X118"/>
    </row>
    <row r="119" spans="1:24" ht="42.75">
      <c r="A119" s="306" t="s">
        <v>87</v>
      </c>
      <c r="B119" s="306"/>
      <c r="C119" s="306"/>
      <c r="D119" s="164" t="s">
        <v>130</v>
      </c>
      <c r="E119" s="165" t="s">
        <v>123</v>
      </c>
      <c r="F119" s="305" t="s">
        <v>124</v>
      </c>
      <c r="G119" s="305"/>
      <c r="H119" s="306" t="s">
        <v>122</v>
      </c>
      <c r="I119" s="306"/>
      <c r="J119"/>
      <c r="K119"/>
      <c r="L119"/>
      <c r="M119"/>
      <c r="N119"/>
      <c r="O119"/>
      <c r="P119"/>
      <c r="Q119"/>
      <c r="R119"/>
      <c r="S119"/>
      <c r="T119"/>
      <c r="U119"/>
      <c r="V119"/>
      <c r="W119"/>
      <c r="X119"/>
    </row>
    <row r="120" spans="1:24">
      <c r="A120" s="146" t="s">
        <v>89</v>
      </c>
      <c r="C120" s="157"/>
      <c r="D120"/>
      <c r="E120"/>
      <c r="F120"/>
      <c r="G120" s="29"/>
      <c r="H120" s="166"/>
      <c r="I120" s="167"/>
      <c r="J120"/>
      <c r="K120"/>
      <c r="L120"/>
      <c r="M120"/>
      <c r="N120"/>
      <c r="O120"/>
      <c r="P120"/>
      <c r="Q120"/>
      <c r="R120"/>
      <c r="S120"/>
      <c r="T120"/>
      <c r="U120"/>
      <c r="V120"/>
      <c r="W120"/>
      <c r="X120"/>
    </row>
    <row r="121" spans="1:24">
      <c r="A121" s="146" t="s">
        <v>125</v>
      </c>
      <c r="C121" s="28"/>
      <c r="D121" s="168">
        <f>[1]!ContractFTEAdmin</f>
        <v>0</v>
      </c>
      <c r="E121" s="168">
        <f>[1]!EmployeeFTEAdmin</f>
        <v>3</v>
      </c>
      <c r="F121" s="301">
        <f>[1]!TotalFTEAdmin</f>
        <v>3</v>
      </c>
      <c r="G121" s="301"/>
      <c r="H121" s="169" t="s">
        <v>91</v>
      </c>
      <c r="I121" s="170">
        <f>[1]!RatioAdmin</f>
        <v>67.400000000000006</v>
      </c>
      <c r="J121"/>
      <c r="K121"/>
      <c r="L121"/>
      <c r="M121"/>
      <c r="N121"/>
      <c r="O121"/>
      <c r="P121"/>
      <c r="Q121"/>
      <c r="R121"/>
      <c r="S121"/>
      <c r="T121"/>
      <c r="U121"/>
      <c r="V121"/>
      <c r="W121"/>
      <c r="X121"/>
    </row>
    <row r="122" spans="1:24">
      <c r="A122" s="146" t="s">
        <v>94</v>
      </c>
      <c r="C122" s="28"/>
      <c r="D122" s="168">
        <f>[1]!ContractFTETeachers</f>
        <v>0</v>
      </c>
      <c r="E122" s="168">
        <f>[1]!EmployeeFTETeachers</f>
        <v>20</v>
      </c>
      <c r="F122" s="301">
        <f>[1]!TotalFTETeachers</f>
        <v>20</v>
      </c>
      <c r="G122" s="301"/>
      <c r="H122" s="171" t="s">
        <v>91</v>
      </c>
      <c r="I122" s="170">
        <f>[1]!RatioTeachers</f>
        <v>10.1</v>
      </c>
      <c r="J122"/>
      <c r="K122"/>
      <c r="L122"/>
      <c r="M122"/>
      <c r="N122"/>
      <c r="O122"/>
      <c r="P122"/>
      <c r="Q122"/>
      <c r="R122"/>
      <c r="S122"/>
      <c r="T122"/>
      <c r="U122"/>
      <c r="V122"/>
      <c r="W122"/>
      <c r="X122"/>
    </row>
    <row r="123" spans="1:24">
      <c r="A123" s="146" t="s">
        <v>36</v>
      </c>
      <c r="C123" s="28"/>
      <c r="D123" s="168">
        <f>[1]!ContractFTECertOther</f>
        <v>0</v>
      </c>
      <c r="E123" s="168">
        <f>[1]!EmployeeFTECertOther</f>
        <v>3</v>
      </c>
      <c r="F123" s="301">
        <f>[1]!TotalFTECertOther</f>
        <v>3</v>
      </c>
      <c r="G123" s="301"/>
      <c r="H123" s="171" t="s">
        <v>91</v>
      </c>
      <c r="I123" s="170">
        <f>[1]!RatioCertOther</f>
        <v>67.400000000000006</v>
      </c>
      <c r="J123"/>
      <c r="K123"/>
      <c r="L123"/>
      <c r="M123"/>
      <c r="N123"/>
      <c r="O123"/>
      <c r="P123"/>
      <c r="Q123"/>
      <c r="R123"/>
      <c r="S123"/>
      <c r="T123"/>
      <c r="U123"/>
      <c r="V123"/>
      <c r="W123"/>
      <c r="X123"/>
    </row>
    <row r="124" spans="1:24">
      <c r="A124" s="172" t="s">
        <v>128</v>
      </c>
      <c r="D124" s="168">
        <f>[1]!ContractFTECertSubtotal</f>
        <v>0</v>
      </c>
      <c r="E124" s="168">
        <f>[1]!EmployeeFTECertSubtotal</f>
        <v>26</v>
      </c>
      <c r="F124" s="301">
        <f>[1]!TotalFTECertSubtotal</f>
        <v>26</v>
      </c>
      <c r="G124" s="301"/>
      <c r="H124" s="171" t="s">
        <v>91</v>
      </c>
      <c r="I124" s="170">
        <f>[1]!RatioCertSubtotal</f>
        <v>7.8</v>
      </c>
      <c r="J124"/>
      <c r="K124"/>
      <c r="L124"/>
      <c r="M124"/>
      <c r="N124"/>
      <c r="O124"/>
      <c r="P124"/>
      <c r="Q124"/>
      <c r="R124"/>
      <c r="S124"/>
      <c r="T124"/>
      <c r="U124"/>
      <c r="V124"/>
      <c r="W124"/>
      <c r="X124"/>
    </row>
    <row r="125" spans="1:24">
      <c r="A125" s="146" t="s">
        <v>95</v>
      </c>
      <c r="C125" s="157"/>
      <c r="D125" s="58"/>
      <c r="E125" s="58"/>
      <c r="F125" s="299"/>
      <c r="G125" s="299"/>
      <c r="H125" s="173"/>
      <c r="I125" s="170"/>
      <c r="J125"/>
      <c r="K125"/>
      <c r="L125"/>
      <c r="M125"/>
      <c r="N125"/>
      <c r="O125"/>
      <c r="P125"/>
      <c r="Q125"/>
      <c r="R125"/>
      <c r="S125"/>
      <c r="T125"/>
      <c r="U125"/>
      <c r="V125"/>
      <c r="W125"/>
      <c r="X125"/>
    </row>
    <row r="126" spans="1:24">
      <c r="A126" s="146" t="s">
        <v>97</v>
      </c>
      <c r="C126" s="28"/>
      <c r="D126" s="168">
        <f>[1]!ContractFTEManagers</f>
        <v>0</v>
      </c>
      <c r="E126" s="168">
        <f>[1]!EmployeeFTEManagers</f>
        <v>5</v>
      </c>
      <c r="F126" s="301">
        <f>[1]!TotalFTEManagers</f>
        <v>5</v>
      </c>
      <c r="G126" s="301"/>
      <c r="H126" s="174" t="s">
        <v>91</v>
      </c>
      <c r="I126" s="170">
        <f>[1]!RatioManagers</f>
        <v>40.4</v>
      </c>
      <c r="J126"/>
      <c r="K126"/>
      <c r="L126"/>
      <c r="M126"/>
      <c r="N126"/>
      <c r="O126"/>
      <c r="P126"/>
      <c r="Q126"/>
      <c r="R126"/>
      <c r="S126"/>
      <c r="T126"/>
      <c r="U126"/>
      <c r="V126"/>
      <c r="W126"/>
      <c r="X126"/>
    </row>
    <row r="127" spans="1:24">
      <c r="A127" s="146" t="s">
        <v>98</v>
      </c>
      <c r="C127" s="28"/>
      <c r="D127" s="168">
        <f>[1]!ContractFTETeachersAids</f>
        <v>1</v>
      </c>
      <c r="E127" s="168">
        <f>[1]!EmployeeFTETeachersAides</f>
        <v>9</v>
      </c>
      <c r="F127" s="301">
        <f>[1]!TotalFTETeachersAides</f>
        <v>10</v>
      </c>
      <c r="G127" s="301"/>
      <c r="H127" s="171" t="s">
        <v>91</v>
      </c>
      <c r="I127" s="170">
        <f>[1]!RatioTeachersAides</f>
        <v>20.2</v>
      </c>
      <c r="J127"/>
      <c r="K127"/>
      <c r="L127"/>
      <c r="M127"/>
      <c r="N127"/>
      <c r="O127"/>
      <c r="P127"/>
      <c r="Q127"/>
      <c r="R127"/>
      <c r="S127"/>
      <c r="T127"/>
      <c r="U127"/>
      <c r="V127"/>
      <c r="W127"/>
      <c r="X127"/>
    </row>
    <row r="128" spans="1:24">
      <c r="A128" s="146" t="s">
        <v>36</v>
      </c>
      <c r="C128" s="28"/>
      <c r="D128" s="168">
        <f>[1]!ContractFTEClassOther</f>
        <v>0</v>
      </c>
      <c r="E128" s="168">
        <f>[1]!EmployeeFTEClassOther</f>
        <v>28</v>
      </c>
      <c r="F128" s="301">
        <f>[1]!TotalFTEClassOther</f>
        <v>28</v>
      </c>
      <c r="G128" s="301"/>
      <c r="H128" s="171" t="s">
        <v>91</v>
      </c>
      <c r="I128" s="170">
        <f>[1]!RatioClassOther</f>
        <v>7.2</v>
      </c>
      <c r="J128"/>
      <c r="K128"/>
      <c r="L128"/>
      <c r="M128"/>
      <c r="N128"/>
      <c r="O128"/>
      <c r="P128"/>
      <c r="Q128"/>
      <c r="R128"/>
      <c r="S128"/>
      <c r="T128"/>
      <c r="U128"/>
      <c r="V128"/>
      <c r="W128"/>
      <c r="X128"/>
    </row>
    <row r="129" spans="1:24">
      <c r="A129" s="172" t="s">
        <v>128</v>
      </c>
      <c r="D129" s="168">
        <f>[1]!ContractFTEClassSubtotal</f>
        <v>1</v>
      </c>
      <c r="E129" s="168">
        <f>[1]!EmployeeFTEClassSubtotal</f>
        <v>42</v>
      </c>
      <c r="F129" s="301">
        <f>[1]!TotalFTEClassSubtotal</f>
        <v>43</v>
      </c>
      <c r="G129" s="301"/>
      <c r="H129" s="171" t="s">
        <v>91</v>
      </c>
      <c r="I129" s="170">
        <f>[1]!RatioClassSubtotal</f>
        <v>4.7</v>
      </c>
      <c r="J129"/>
      <c r="K129"/>
      <c r="L129"/>
      <c r="M129"/>
      <c r="N129"/>
      <c r="O129"/>
      <c r="P129"/>
      <c r="Q129"/>
      <c r="R129"/>
      <c r="S129"/>
      <c r="T129"/>
      <c r="U129"/>
      <c r="V129"/>
      <c r="W129"/>
      <c r="X129"/>
    </row>
    <row r="130" spans="1:24">
      <c r="A130" s="172" t="s">
        <v>129</v>
      </c>
      <c r="D130" s="168">
        <f>[1]!ContractFTETotal</f>
        <v>1</v>
      </c>
      <c r="E130" s="168">
        <f>[1]!EmployeeFTETotal</f>
        <v>68</v>
      </c>
      <c r="F130" s="301">
        <f>[1]!TotalFTETotal</f>
        <v>69</v>
      </c>
      <c r="G130" s="301"/>
      <c r="H130" s="171" t="s">
        <v>91</v>
      </c>
      <c r="I130" s="170">
        <f>[1]!RatioTotal</f>
        <v>2.9</v>
      </c>
      <c r="J130"/>
      <c r="K130"/>
      <c r="L130"/>
      <c r="M130"/>
      <c r="N130"/>
      <c r="O130"/>
      <c r="P130"/>
      <c r="Q130"/>
      <c r="R130"/>
      <c r="S130"/>
      <c r="T130"/>
      <c r="U130"/>
      <c r="V130"/>
      <c r="W130"/>
      <c r="X130"/>
    </row>
    <row r="131" spans="1:24">
      <c r="A131" s="172"/>
      <c r="C131" s="173"/>
      <c r="D131" s="58"/>
      <c r="E131" s="58"/>
      <c r="F131" s="299"/>
      <c r="G131" s="299"/>
      <c r="H131" s="175"/>
      <c r="I131" s="176"/>
      <c r="J131"/>
      <c r="K131"/>
      <c r="L131"/>
      <c r="M131"/>
      <c r="N131"/>
      <c r="O131"/>
      <c r="P131"/>
      <c r="Q131"/>
      <c r="R131"/>
      <c r="S131"/>
      <c r="T131"/>
      <c r="U131"/>
      <c r="V131"/>
      <c r="W131"/>
      <c r="X131"/>
    </row>
    <row r="132" spans="1:24">
      <c r="A132" s="172" t="s">
        <v>99</v>
      </c>
      <c r="C132" s="173"/>
      <c r="D132" s="58"/>
      <c r="E132" s="58"/>
      <c r="F132" s="299"/>
      <c r="G132" s="299"/>
      <c r="H132" s="175"/>
      <c r="I132" s="177"/>
      <c r="J132"/>
      <c r="K132"/>
      <c r="L132"/>
      <c r="M132"/>
      <c r="N132"/>
      <c r="O132"/>
      <c r="P132"/>
      <c r="Q132"/>
      <c r="R132"/>
      <c r="S132"/>
      <c r="T132"/>
      <c r="U132"/>
      <c r="V132"/>
      <c r="W132"/>
      <c r="X132"/>
    </row>
    <row r="133" spans="1:24">
      <c r="A133" s="172" t="s">
        <v>100</v>
      </c>
      <c r="C133" s="157"/>
      <c r="D133" s="178">
        <f>[1]!ContractFTESpecEdTeacher</f>
        <v>0</v>
      </c>
      <c r="E133" s="178">
        <f>[1]!EmployeeFTESpecEdTeacher</f>
        <v>1</v>
      </c>
      <c r="F133" s="300">
        <f>[1]!TotalFTESpecEdTeacher</f>
        <v>1</v>
      </c>
      <c r="G133" s="300"/>
      <c r="H133" s="179" t="s">
        <v>101</v>
      </c>
      <c r="I133" s="180">
        <f>[1]!SPEDTeacher</f>
        <v>10</v>
      </c>
      <c r="J133"/>
      <c r="K133"/>
      <c r="L133"/>
      <c r="M133"/>
      <c r="N133"/>
      <c r="O133"/>
      <c r="P133"/>
      <c r="Q133"/>
      <c r="R133"/>
      <c r="S133"/>
      <c r="T133"/>
      <c r="U133"/>
      <c r="V133"/>
      <c r="W133"/>
      <c r="X133"/>
    </row>
    <row r="134" spans="1:24">
      <c r="A134" s="181" t="s">
        <v>102</v>
      </c>
      <c r="B134" s="80"/>
      <c r="C134" s="182"/>
      <c r="D134" s="178">
        <f>[1]!ContractFTESpecEdStaff</f>
        <v>0</v>
      </c>
      <c r="E134" s="178">
        <f>[1]!EmployeeFTESpecEdStaff</f>
        <v>0</v>
      </c>
      <c r="F134" s="300">
        <f>[1]!TotalFTESpecEdStaff</f>
        <v>0</v>
      </c>
      <c r="G134" s="300"/>
      <c r="H134" s="179" t="s">
        <v>101</v>
      </c>
      <c r="I134" s="183">
        <f>[1]!SPEDStaff</f>
        <v>10</v>
      </c>
      <c r="J134"/>
      <c r="K134"/>
      <c r="L134"/>
      <c r="M134"/>
      <c r="N134"/>
      <c r="O134"/>
      <c r="P134"/>
      <c r="Q134"/>
      <c r="R134"/>
      <c r="S134"/>
      <c r="T134"/>
      <c r="U134"/>
      <c r="V134"/>
      <c r="W134"/>
      <c r="X134"/>
    </row>
  </sheetData>
  <sheetProtection sheet="1" formatCells="0" formatColumns="0" formatRows="0"/>
  <mergeCells count="161">
    <mergeCell ref="F131:G131"/>
    <mergeCell ref="F132:G132"/>
    <mergeCell ref="F133:G133"/>
    <mergeCell ref="F134:G134"/>
    <mergeCell ref="F125:G125"/>
    <mergeCell ref="F126:G126"/>
    <mergeCell ref="F127:G127"/>
    <mergeCell ref="F99:G99"/>
    <mergeCell ref="F128:G128"/>
    <mergeCell ref="F129:G129"/>
    <mergeCell ref="F130:G130"/>
    <mergeCell ref="A118:I118"/>
    <mergeCell ref="F119:G119"/>
    <mergeCell ref="F121:G121"/>
    <mergeCell ref="F122:G122"/>
    <mergeCell ref="F123:G123"/>
    <mergeCell ref="F124:G124"/>
    <mergeCell ref="H119:I119"/>
    <mergeCell ref="A119:C119"/>
    <mergeCell ref="F100:G100"/>
    <mergeCell ref="A107:C107"/>
    <mergeCell ref="A106:E106"/>
    <mergeCell ref="K77:L77"/>
    <mergeCell ref="F96:G96"/>
    <mergeCell ref="F97:G97"/>
    <mergeCell ref="F87:G87"/>
    <mergeCell ref="F88:G88"/>
    <mergeCell ref="F89:G89"/>
    <mergeCell ref="F90:G90"/>
    <mergeCell ref="F94:G94"/>
    <mergeCell ref="F95:G95"/>
    <mergeCell ref="F80:G80"/>
    <mergeCell ref="F81:G81"/>
    <mergeCell ref="F70:G70"/>
    <mergeCell ref="F71:G71"/>
    <mergeCell ref="F72:G72"/>
    <mergeCell ref="F73:G73"/>
    <mergeCell ref="F77:G77"/>
    <mergeCell ref="F104:G104"/>
    <mergeCell ref="K71:L71"/>
    <mergeCell ref="F93:G93"/>
    <mergeCell ref="F101:G101"/>
    <mergeCell ref="F102:G102"/>
    <mergeCell ref="F103:G103"/>
    <mergeCell ref="K70:L70"/>
    <mergeCell ref="F92:G92"/>
    <mergeCell ref="F74:G74"/>
    <mergeCell ref="F75:G75"/>
    <mergeCell ref="F86:G86"/>
    <mergeCell ref="K80:L80"/>
    <mergeCell ref="K81:L81"/>
    <mergeCell ref="F76:G76"/>
    <mergeCell ref="K73:L73"/>
    <mergeCell ref="K72:L72"/>
    <mergeCell ref="K74:L74"/>
    <mergeCell ref="K75:L75"/>
    <mergeCell ref="K76:L76"/>
    <mergeCell ref="D78:D79"/>
    <mergeCell ref="E78:E79"/>
    <mergeCell ref="F98:G98"/>
    <mergeCell ref="K78:L79"/>
    <mergeCell ref="I78:I79"/>
    <mergeCell ref="K33:L33"/>
    <mergeCell ref="E25:G25"/>
    <mergeCell ref="K60:L60"/>
    <mergeCell ref="F58:G58"/>
    <mergeCell ref="F59:G59"/>
    <mergeCell ref="F60:G60"/>
    <mergeCell ref="K59:L59"/>
    <mergeCell ref="K48:L48"/>
    <mergeCell ref="K49:L49"/>
    <mergeCell ref="K50:L50"/>
    <mergeCell ref="K51:L51"/>
    <mergeCell ref="K52:L53"/>
    <mergeCell ref="K54:L55"/>
    <mergeCell ref="F50:G50"/>
    <mergeCell ref="F51:G51"/>
    <mergeCell ref="K56:L56"/>
    <mergeCell ref="K57:L57"/>
    <mergeCell ref="K58:L58"/>
    <mergeCell ref="K61:L61"/>
    <mergeCell ref="K69:L69"/>
    <mergeCell ref="F69:G69"/>
    <mergeCell ref="F65:G66"/>
    <mergeCell ref="F67:G68"/>
    <mergeCell ref="F61:G61"/>
    <mergeCell ref="F62:G62"/>
    <mergeCell ref="F63:G63"/>
    <mergeCell ref="K63:L63"/>
    <mergeCell ref="K64:L64"/>
    <mergeCell ref="F64:G64"/>
    <mergeCell ref="J67:J68"/>
    <mergeCell ref="H65:H66"/>
    <mergeCell ref="I65:I66"/>
    <mergeCell ref="J65:J66"/>
    <mergeCell ref="F52:G53"/>
    <mergeCell ref="F54:G55"/>
    <mergeCell ref="D34:D36"/>
    <mergeCell ref="J78:J79"/>
    <mergeCell ref="A84:G84"/>
    <mergeCell ref="F85:G85"/>
    <mergeCell ref="F91:G91"/>
    <mergeCell ref="D45:L46"/>
    <mergeCell ref="D52:D53"/>
    <mergeCell ref="E52:E53"/>
    <mergeCell ref="H52:H53"/>
    <mergeCell ref="I52:I53"/>
    <mergeCell ref="J52:J53"/>
    <mergeCell ref="F78:G79"/>
    <mergeCell ref="H78:H79"/>
    <mergeCell ref="A34:C36"/>
    <mergeCell ref="E34:E36"/>
    <mergeCell ref="D37:D39"/>
    <mergeCell ref="E37:E39"/>
    <mergeCell ref="A37:C39"/>
    <mergeCell ref="F35:L44"/>
    <mergeCell ref="K62:L62"/>
    <mergeCell ref="K65:L66"/>
    <mergeCell ref="K67:L68"/>
    <mergeCell ref="D54:D55"/>
    <mergeCell ref="E54:E55"/>
    <mergeCell ref="H54:H55"/>
    <mergeCell ref="I54:I55"/>
    <mergeCell ref="J54:J55"/>
    <mergeCell ref="D65:D66"/>
    <mergeCell ref="E65:E66"/>
    <mergeCell ref="D67:D68"/>
    <mergeCell ref="E67:E68"/>
    <mergeCell ref="H67:H68"/>
    <mergeCell ref="I67:I68"/>
    <mergeCell ref="F56:G56"/>
    <mergeCell ref="F57:G57"/>
    <mergeCell ref="A3:L3"/>
    <mergeCell ref="H25:J25"/>
    <mergeCell ref="E26:H26"/>
    <mergeCell ref="A16:L16"/>
    <mergeCell ref="A18:F18"/>
    <mergeCell ref="A19:L19"/>
    <mergeCell ref="A21:H21"/>
    <mergeCell ref="C9:D9"/>
    <mergeCell ref="C10:D10"/>
    <mergeCell ref="C8:I8"/>
    <mergeCell ref="C5:D5"/>
    <mergeCell ref="I5:J5"/>
    <mergeCell ref="A7:L7"/>
    <mergeCell ref="F9:I9"/>
    <mergeCell ref="F23:G23"/>
    <mergeCell ref="I14:J14"/>
    <mergeCell ref="A31:A32"/>
    <mergeCell ref="A12:L12"/>
    <mergeCell ref="C13:D13"/>
    <mergeCell ref="I13:J13"/>
    <mergeCell ref="B23:D23"/>
    <mergeCell ref="B25:D25"/>
    <mergeCell ref="K21:L21"/>
    <mergeCell ref="K22:L22"/>
    <mergeCell ref="E27:H27"/>
    <mergeCell ref="K30:L30"/>
    <mergeCell ref="K31:L31"/>
    <mergeCell ref="K32:L32"/>
    <mergeCell ref="C14:D14"/>
  </mergeCells>
  <dataValidations xWindow="730" yWindow="350" count="2">
    <dataValidation type="decimal" operator="greaterThanOrEqual" allowBlank="1" showInputMessage="1" showErrorMessage="1" errorTitle="Error" error="Value must be a number." sqref="C32:E32">
      <formula1>0</formula1>
    </dataValidation>
    <dataValidation operator="notEqual" allowBlank="1" showInputMessage="1" showErrorMessage="1" promptTitle="Time" prompt="Please enter time including AM/PM" sqref="H5:I5"/>
  </dataValidations>
  <hyperlinks>
    <hyperlink ref="A29" r:id="rId1" display="1.  Student Count"/>
    <hyperlink ref="C14" r:id="rId2"/>
  </hyperlinks>
  <printOptions horizontalCentered="1"/>
  <pageMargins left="0.25" right="0.25" top="0.25" bottom="0.25" header="0.5" footer="0.25"/>
  <pageSetup scale="88" fitToHeight="0" orientation="portrait" r:id="rId3"/>
  <headerFooter alignWithMargins="0">
    <oddFooter>&amp;L&amp;"Times New Roman,Bold"&amp;9Rev. 5/23 Arizona Department of Education and Auditor General&amp;R&amp;"Times New Roman,Bold"&amp;9Page &amp;P of &amp;N</oddFooter>
  </headerFooter>
  <rowBreaks count="2" manualBreakCount="2">
    <brk id="19" max="16383" man="1"/>
    <brk id="82"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documentManagement>
    <lcf76f155ced4ddcb4097134ff3c332f xmlns="30e8ffde-18ad-4221-a68d-976eb256fe4f">
      <Terms xmlns="http://schemas.microsoft.com/office/infopath/2007/PartnerControls"/>
    </lcf76f155ced4ddcb4097134ff3c332f>
    <TaxCatchAll xmlns="ffcdc2e4-c8f2-4bf7-ab1d-ea300bde3f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0A7E3807644E4DA70E0D6B717B683A" ma:contentTypeVersion="10" ma:contentTypeDescription="Create a new document." ma:contentTypeScope="" ma:versionID="0071ca5f4b6ee98f77bc82b2910829c3">
  <xsd:schema xmlns:xsd="http://www.w3.org/2001/XMLSchema" xmlns:xs="http://www.w3.org/2001/XMLSchema" xmlns:p="http://schemas.microsoft.com/office/2006/metadata/properties" xmlns:ns2="30e8ffde-18ad-4221-a68d-976eb256fe4f" xmlns:ns3="ffcdc2e4-c8f2-4bf7-ab1d-ea300bde3fd8" targetNamespace="http://schemas.microsoft.com/office/2006/metadata/properties" ma:root="true" ma:fieldsID="c062b0eec728b62cb4e942213e7d5b77" ns2:_="" ns3:_="">
    <xsd:import namespace="30e8ffde-18ad-4221-a68d-976eb256fe4f"/>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8ffde-18ad-4221-a68d-976eb256f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4c78d70-57a5-4cd0-992a-8b96d5ad90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d5af9a2-5c05-48d1-8193-28164417b14f}" ma:internalName="TaxCatchAll" ma:showField="CatchAllData" ma:web="ffcdc2e4-c8f2-4bf7-ab1d-ea300bde3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30e8ffde-18ad-4221-a68d-976eb256fe4f">
      <Terms xmlns="http://schemas.microsoft.com/office/infopath/2007/PartnerControls"/>
    </lcf76f155ced4ddcb4097134ff3c332f>
    <TaxCatchAll xmlns="ffcdc2e4-c8f2-4bf7-ab1d-ea300bde3fd8"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40A7E3807644E4DA70E0D6B717B683A" ma:contentTypeVersion="10" ma:contentTypeDescription="Create a new document." ma:contentTypeScope="" ma:versionID="0071ca5f4b6ee98f77bc82b2910829c3">
  <xsd:schema xmlns:xsd="http://www.w3.org/2001/XMLSchema" xmlns:xs="http://www.w3.org/2001/XMLSchema" xmlns:p="http://schemas.microsoft.com/office/2006/metadata/properties" xmlns:ns2="30e8ffde-18ad-4221-a68d-976eb256fe4f" xmlns:ns3="ffcdc2e4-c8f2-4bf7-ab1d-ea300bde3fd8" targetNamespace="http://schemas.microsoft.com/office/2006/metadata/properties" ma:root="true" ma:fieldsID="c062b0eec728b62cb4e942213e7d5b77" ns2:_="" ns3:_="">
    <xsd:import namespace="30e8ffde-18ad-4221-a68d-976eb256fe4f"/>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8ffde-18ad-4221-a68d-976eb256f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4c78d70-57a5-4cd0-992a-8b96d5ad90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d5af9a2-5c05-48d1-8193-28164417b14f}" ma:internalName="TaxCatchAll" ma:showField="CatchAllData" ma:web="ffcdc2e4-c8f2-4bf7-ab1d-ea300bde3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FormTemplates xmlns="http://schemas.microsoft.com/sharepoint/v3/contenttype/forms">
  <Display>DocumentLibraryForm</Display>
  <Edit>DocumentLibraryForm</Edit>
  <New>DocumentLibraryForm</New>
</FormTemplates>
</file>

<file path=customXml/item6.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4F38B-0799-4886-B61C-8DBB46B47F73}">
  <ds:schemaRefs>
    <ds:schemaRef ds:uri="http://schemas.microsoft.com/office/2006/metadata/properties"/>
    <ds:schemaRef ds:uri="http://purl.org/dc/dcmitype/"/>
    <ds:schemaRef ds:uri="http://purl.org/dc/terms/"/>
    <ds:schemaRef ds:uri="30e8ffde-18ad-4221-a68d-976eb256fe4f"/>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ffcdc2e4-c8f2-4bf7-ab1d-ea300bde3fd8"/>
    <ds:schemaRef ds:uri="http://www.w3.org/XML/1998/namespace"/>
  </ds:schemaRefs>
</ds:datastoreItem>
</file>

<file path=customXml/itemProps2.xml><?xml version="1.0" encoding="utf-8"?>
<ds:datastoreItem xmlns:ds="http://schemas.openxmlformats.org/officeDocument/2006/customXml" ds:itemID="{1F056FD1-B5D1-4DDB-B5BC-4D9A22896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8ffde-18ad-4221-a68d-976eb256fe4f"/>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B4F38B-0799-4886-B61C-8DBB46B47F73}">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 ds:uri="30e8ffde-18ad-4221-a68d-976eb256fe4f"/>
    <ds:schemaRef ds:uri="ffcdc2e4-c8f2-4bf7-ab1d-ea300bde3fd8"/>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F056FD1-B5D1-4DDB-B5BC-4D9A22896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8ffde-18ad-4221-a68d-976eb256fe4f"/>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6.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Notice</vt:lpstr>
      <vt:lpstr>BudgetYearADM</vt:lpstr>
      <vt:lpstr>Notice!Print_Area</vt:lpstr>
      <vt:lpstr>PriorYearADM</vt:lpstr>
      <vt:lpstr>SPEDStaff</vt:lpstr>
      <vt:lpstr>SPEDTeacher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Meeting Notification</dc:title>
  <dc:subject/>
  <dc:creator>AZ Department of Education</dc:creator>
  <cp:keywords/>
  <dc:description/>
  <cp:lastModifiedBy>Tonya Taylor</cp:lastModifiedBy>
  <cp:lastPrinted>2023-04-10T09:13:23Z</cp:lastPrinted>
  <dcterms:created xsi:type="dcterms:W3CDTF">2006-05-15T03:29:21Z</dcterms:created>
  <dcterms:modified xsi:type="dcterms:W3CDTF">2023-06-08T18:51:18Z</dcterms:modified>
  <cp:category/>
  <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scalYear">
    <vt:lpwstr>2024</vt:lpwstr>
  </property>
  <property fmtid="{D5CDD505-2E9C-101B-9397-08002B2CF9AE}" pid="3" name="BudgetTypeID">
    <vt:lpwstr>35</vt:lpwstr>
  </property>
  <property fmtid="{D5CDD505-2E9C-101B-9397-08002B2CF9AE}" pid="4" name="SchoolbySchool">
    <vt:lpwstr>0</vt:lpwstr>
  </property>
  <property fmtid="{D5CDD505-2E9C-101B-9397-08002B2CF9AE}" pid="5" name="Password">
    <vt:lpwstr>Diamondbacks15</vt:lpwstr>
  </property>
  <property fmtid="{D5CDD505-2E9C-101B-9397-08002B2CF9AE}" pid="6" name="ADEGUID">
    <vt:lpwstr>7f6690fe-7dcf-44fc-9a27-7b55bddcbb81</vt:lpwstr>
  </property>
  <property fmtid="{D5CDD505-2E9C-101B-9397-08002B2CF9AE}" pid="7" name="ContentTypeId">
    <vt:lpwstr>0x010100740A7E3807644E4DA70E0D6B717B683A</vt:lpwstr>
  </property>
  <property fmtid="{D5CDD505-2E9C-101B-9397-08002B2CF9AE}" pid="8" name="MediaServiceImageTags">
    <vt:lpwstr/>
  </property>
</Properties>
</file>